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(나희)\5. ★회신자료\0417 1분기 사전정보공표\"/>
    </mc:Choice>
  </mc:AlternateContent>
  <xr:revisionPtr revIDLastSave="0" documentId="13_ncr:1_{6CFE378A-37EC-4233-922B-3105C38CD408}" xr6:coauthVersionLast="47" xr6:coauthVersionMax="47" xr10:uidLastSave="{00000000-0000-0000-0000-000000000000}"/>
  <bookViews>
    <workbookView xWindow="570" yWindow="1170" windowWidth="28230" windowHeight="14220" xr2:uid="{61B718B2-7E5D-4800-BB40-8D517C6A10F4}"/>
  </bookViews>
  <sheets>
    <sheet name="가로수 현황" sheetId="1" r:id="rId1"/>
  </sheets>
  <externalReferences>
    <externalReference r:id="rId2"/>
    <externalReference r:id="rId3"/>
  </externalReferences>
  <definedNames>
    <definedName name="_xlnm._FilterDatabase" localSheetId="0" hidden="1">'가로수 현황'!$A$6:$BA$280</definedName>
    <definedName name="_xlnm.Print_Area" localSheetId="0">'가로수 현황'!$A$1:$AL$280</definedName>
    <definedName name="_xlnm.Print_Titles" localSheetId="0">'가로수 현황'!$1:$5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B118" i="1" l="1"/>
  <c r="E7" i="1"/>
  <c r="I7" i="1"/>
  <c r="I6" i="1" s="1"/>
  <c r="K7" i="1"/>
  <c r="N7" i="1"/>
  <c r="O7" i="1"/>
  <c r="P7" i="1"/>
  <c r="Q7" i="1"/>
  <c r="S7" i="1"/>
  <c r="S6" i="1" s="1"/>
  <c r="W7" i="1"/>
  <c r="X7" i="1"/>
  <c r="Y7" i="1"/>
  <c r="Z7" i="1"/>
  <c r="AA7" i="1"/>
  <c r="AB7" i="1"/>
  <c r="AC7" i="1"/>
  <c r="AD7" i="1"/>
  <c r="AE7" i="1"/>
  <c r="AF7" i="1"/>
  <c r="AH7" i="1"/>
  <c r="AI7" i="1"/>
  <c r="AJ7" i="1"/>
  <c r="AK7" i="1"/>
  <c r="AL7" i="1"/>
  <c r="AL6" i="1" s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AA32" i="1"/>
  <c r="V32" i="1" s="1"/>
  <c r="V33" i="1"/>
  <c r="V34" i="1"/>
  <c r="V35" i="1"/>
  <c r="V36" i="1"/>
  <c r="V37" i="1"/>
  <c r="V38" i="1"/>
  <c r="V39" i="1"/>
  <c r="V40" i="1"/>
  <c r="V41" i="1"/>
  <c r="V42" i="1"/>
  <c r="V43" i="1"/>
  <c r="AG44" i="1"/>
  <c r="AG7" i="1" s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E58" i="1"/>
  <c r="I58" i="1"/>
  <c r="K58" i="1"/>
  <c r="N58" i="1"/>
  <c r="O58" i="1"/>
  <c r="O6" i="1" s="1"/>
  <c r="P58" i="1"/>
  <c r="Q58" i="1"/>
  <c r="S58" i="1"/>
  <c r="W58" i="1"/>
  <c r="Y58" i="1"/>
  <c r="Z58" i="1"/>
  <c r="AE58" i="1"/>
  <c r="AF58" i="1"/>
  <c r="AG58" i="1"/>
  <c r="AH58" i="1"/>
  <c r="AI58" i="1"/>
  <c r="AJ58" i="1"/>
  <c r="AK58" i="1"/>
  <c r="AL58" i="1"/>
  <c r="V59" i="1"/>
  <c r="V60" i="1"/>
  <c r="V61" i="1"/>
  <c r="AB62" i="1"/>
  <c r="V62" i="1" s="1"/>
  <c r="V63" i="1"/>
  <c r="AB64" i="1"/>
  <c r="V64" i="1" s="1"/>
  <c r="AB65" i="1"/>
  <c r="V65" i="1" s="1"/>
  <c r="X66" i="1"/>
  <c r="V66" i="1" s="1"/>
  <c r="V67" i="1"/>
  <c r="X68" i="1"/>
  <c r="AB68" i="1"/>
  <c r="V69" i="1"/>
  <c r="V70" i="1"/>
  <c r="V71" i="1"/>
  <c r="V72" i="1"/>
  <c r="AC73" i="1"/>
  <c r="V74" i="1"/>
  <c r="AA75" i="1"/>
  <c r="AA76" i="1"/>
  <c r="V76" i="1" s="1"/>
  <c r="V77" i="1"/>
  <c r="V78" i="1"/>
  <c r="AA79" i="1"/>
  <c r="V79" i="1" s="1"/>
  <c r="V80" i="1"/>
  <c r="V81" i="1"/>
  <c r="V82" i="1"/>
  <c r="V83" i="1"/>
  <c r="V84" i="1"/>
  <c r="AA85" i="1"/>
  <c r="V85" i="1" s="1"/>
  <c r="AB86" i="1"/>
  <c r="V86" i="1" s="1"/>
  <c r="V87" i="1"/>
  <c r="AB88" i="1"/>
  <c r="V88" i="1" s="1"/>
  <c r="V89" i="1"/>
  <c r="V90" i="1"/>
  <c r="V91" i="1"/>
  <c r="AD92" i="1"/>
  <c r="V92" i="1" s="1"/>
  <c r="AC93" i="1"/>
  <c r="V93" i="1" s="1"/>
  <c r="AC94" i="1"/>
  <c r="V94" i="1" s="1"/>
  <c r="AC95" i="1"/>
  <c r="V95" i="1" s="1"/>
  <c r="V96" i="1"/>
  <c r="V97" i="1"/>
  <c r="X97" i="1"/>
  <c r="V98" i="1"/>
  <c r="AB99" i="1"/>
  <c r="V99" i="1" s="1"/>
  <c r="AB100" i="1"/>
  <c r="V100" i="1" s="1"/>
  <c r="V101" i="1"/>
  <c r="V102" i="1"/>
  <c r="AA103" i="1"/>
  <c r="V103" i="1" s="1"/>
  <c r="AB104" i="1"/>
  <c r="V104" i="1" s="1"/>
  <c r="AC105" i="1"/>
  <c r="V105" i="1" s="1"/>
  <c r="AB106" i="1"/>
  <c r="V106" i="1" s="1"/>
  <c r="AC107" i="1"/>
  <c r="V107" i="1" s="1"/>
  <c r="AC108" i="1"/>
  <c r="V108" i="1" s="1"/>
  <c r="AC109" i="1"/>
  <c r="V109" i="1" s="1"/>
  <c r="V110" i="1"/>
  <c r="V111" i="1"/>
  <c r="V112" i="1"/>
  <c r="V113" i="1"/>
  <c r="V114" i="1"/>
  <c r="V115" i="1"/>
  <c r="V116" i="1"/>
  <c r="V117" i="1"/>
  <c r="E118" i="1"/>
  <c r="I118" i="1"/>
  <c r="K118" i="1"/>
  <c r="N118" i="1"/>
  <c r="O118" i="1"/>
  <c r="P118" i="1"/>
  <c r="Q118" i="1"/>
  <c r="S118" i="1"/>
  <c r="AG118" i="1"/>
  <c r="AH118" i="1"/>
  <c r="AJ118" i="1"/>
  <c r="AK118" i="1"/>
  <c r="AL118" i="1"/>
  <c r="AB119" i="1"/>
  <c r="V119" i="1" s="1"/>
  <c r="W120" i="1"/>
  <c r="X120" i="1"/>
  <c r="AA120" i="1"/>
  <c r="AA121" i="1"/>
  <c r="AE121" i="1"/>
  <c r="V121" i="1" s="1"/>
  <c r="X122" i="1"/>
  <c r="Y122" i="1"/>
  <c r="AG122" i="1"/>
  <c r="AC123" i="1"/>
  <c r="W124" i="1"/>
  <c r="V124" i="1" s="1"/>
  <c r="V125" i="1"/>
  <c r="AB126" i="1"/>
  <c r="V126" i="1" s="1"/>
  <c r="W127" i="1"/>
  <c r="AB127" i="1"/>
  <c r="W128" i="1"/>
  <c r="AB128" i="1"/>
  <c r="V128" i="1" s="1"/>
  <c r="W129" i="1"/>
  <c r="V129" i="1" s="1"/>
  <c r="W130" i="1"/>
  <c r="V130" i="1" s="1"/>
  <c r="W131" i="1"/>
  <c r="V131" i="1" s="1"/>
  <c r="W132" i="1"/>
  <c r="V132" i="1" s="1"/>
  <c r="W133" i="1"/>
  <c r="V133" i="1" s="1"/>
  <c r="W134" i="1"/>
  <c r="V134" i="1" s="1"/>
  <c r="W135" i="1"/>
  <c r="V135" i="1" s="1"/>
  <c r="W136" i="1"/>
  <c r="V136" i="1" s="1"/>
  <c r="W137" i="1"/>
  <c r="V137" i="1" s="1"/>
  <c r="W138" i="1"/>
  <c r="V138" i="1" s="1"/>
  <c r="AB139" i="1"/>
  <c r="V139" i="1" s="1"/>
  <c r="V140" i="1"/>
  <c r="AB140" i="1"/>
  <c r="AB141" i="1"/>
  <c r="V141" i="1" s="1"/>
  <c r="V142" i="1"/>
  <c r="AA143" i="1"/>
  <c r="V143" i="1" s="1"/>
  <c r="Z144" i="1"/>
  <c r="V144" i="1" s="1"/>
  <c r="AC145" i="1"/>
  <c r="V145" i="1" s="1"/>
  <c r="W146" i="1"/>
  <c r="V146" i="1" s="1"/>
  <c r="Z146" i="1"/>
  <c r="V147" i="1"/>
  <c r="AC148" i="1"/>
  <c r="V148" i="1" s="1"/>
  <c r="AC149" i="1"/>
  <c r="V149" i="1" s="1"/>
  <c r="AC150" i="1"/>
  <c r="V150" i="1" s="1"/>
  <c r="V151" i="1"/>
  <c r="W151" i="1"/>
  <c r="W152" i="1"/>
  <c r="V152" i="1" s="1"/>
  <c r="W153" i="1"/>
  <c r="V153" i="1" s="1"/>
  <c r="W154" i="1"/>
  <c r="AA154" i="1"/>
  <c r="V154" i="1" s="1"/>
  <c r="X155" i="1"/>
  <c r="Y155" i="1"/>
  <c r="AE155" i="1"/>
  <c r="AE118" i="1" s="1"/>
  <c r="W156" i="1"/>
  <c r="V156" i="1" s="1"/>
  <c r="W157" i="1"/>
  <c r="AA157" i="1"/>
  <c r="AB157" i="1"/>
  <c r="W158" i="1"/>
  <c r="V158" i="1" s="1"/>
  <c r="V159" i="1"/>
  <c r="W159" i="1"/>
  <c r="W160" i="1"/>
  <c r="V160" i="1" s="1"/>
  <c r="W161" i="1"/>
  <c r="V161" i="1" s="1"/>
  <c r="AA161" i="1"/>
  <c r="W162" i="1"/>
  <c r="V162" i="1" s="1"/>
  <c r="W163" i="1"/>
  <c r="V163" i="1" s="1"/>
  <c r="X164" i="1"/>
  <c r="V164" i="1" s="1"/>
  <c r="AA164" i="1"/>
  <c r="W165" i="1"/>
  <c r="X165" i="1"/>
  <c r="Y165" i="1"/>
  <c r="W166" i="1"/>
  <c r="X166" i="1"/>
  <c r="AA166" i="1"/>
  <c r="AA167" i="1"/>
  <c r="V167" i="1" s="1"/>
  <c r="V168" i="1"/>
  <c r="AA169" i="1"/>
  <c r="V169" i="1" s="1"/>
  <c r="X170" i="1"/>
  <c r="V170" i="1" s="1"/>
  <c r="X171" i="1"/>
  <c r="AA171" i="1"/>
  <c r="AA172" i="1"/>
  <c r="V172" i="1" s="1"/>
  <c r="AA173" i="1"/>
  <c r="V173" i="1" s="1"/>
  <c r="V174" i="1"/>
  <c r="W175" i="1"/>
  <c r="V175" i="1" s="1"/>
  <c r="X176" i="1"/>
  <c r="V176" i="1" s="1"/>
  <c r="AA176" i="1"/>
  <c r="W177" i="1"/>
  <c r="V177" i="1" s="1"/>
  <c r="W178" i="1"/>
  <c r="V178" i="1" s="1"/>
  <c r="AD179" i="1"/>
  <c r="V179" i="1" s="1"/>
  <c r="W180" i="1"/>
  <c r="V180" i="1" s="1"/>
  <c r="W181" i="1"/>
  <c r="V181" i="1" s="1"/>
  <c r="V182" i="1"/>
  <c r="X183" i="1"/>
  <c r="V183" i="1" s="1"/>
  <c r="X184" i="1"/>
  <c r="V184" i="1" s="1"/>
  <c r="X185" i="1"/>
  <c r="V185" i="1" s="1"/>
  <c r="X186" i="1"/>
  <c r="V186" i="1" s="1"/>
  <c r="V187" i="1"/>
  <c r="W188" i="1"/>
  <c r="V188" i="1" s="1"/>
  <c r="X188" i="1"/>
  <c r="AG188" i="1"/>
  <c r="AA189" i="1"/>
  <c r="V189" i="1" s="1"/>
  <c r="AA190" i="1"/>
  <c r="V190" i="1" s="1"/>
  <c r="W191" i="1"/>
  <c r="AA191" i="1"/>
  <c r="AA192" i="1"/>
  <c r="V192" i="1" s="1"/>
  <c r="V193" i="1"/>
  <c r="AF194" i="1"/>
  <c r="V194" i="1" s="1"/>
  <c r="AF195" i="1"/>
  <c r="V195" i="1" s="1"/>
  <c r="AA196" i="1"/>
  <c r="V196" i="1" s="1"/>
  <c r="AA197" i="1"/>
  <c r="V197" i="1" s="1"/>
  <c r="X198" i="1"/>
  <c r="V198" i="1" s="1"/>
  <c r="AA199" i="1"/>
  <c r="V199" i="1" s="1"/>
  <c r="V200" i="1"/>
  <c r="V201" i="1"/>
  <c r="AA202" i="1"/>
  <c r="V202" i="1" s="1"/>
  <c r="AA203" i="1"/>
  <c r="V203" i="1" s="1"/>
  <c r="V204" i="1"/>
  <c r="V205" i="1"/>
  <c r="AA206" i="1"/>
  <c r="V206" i="1" s="1"/>
  <c r="AA207" i="1"/>
  <c r="V207" i="1" s="1"/>
  <c r="W208" i="1"/>
  <c r="V208" i="1" s="1"/>
  <c r="W209" i="1"/>
  <c r="V209" i="1" s="1"/>
  <c r="AA210" i="1"/>
  <c r="V210" i="1" s="1"/>
  <c r="V211" i="1"/>
  <c r="AA212" i="1"/>
  <c r="V212" i="1" s="1"/>
  <c r="W213" i="1"/>
  <c r="V213" i="1" s="1"/>
  <c r="W214" i="1"/>
  <c r="V214" i="1" s="1"/>
  <c r="W215" i="1"/>
  <c r="AA215" i="1"/>
  <c r="V216" i="1"/>
  <c r="X217" i="1"/>
  <c r="V217" i="1" s="1"/>
  <c r="AA218" i="1"/>
  <c r="V218" i="1" s="1"/>
  <c r="W219" i="1"/>
  <c r="V219" i="1" s="1"/>
  <c r="AA220" i="1"/>
  <c r="V220" i="1" s="1"/>
  <c r="AA221" i="1"/>
  <c r="V221" i="1" s="1"/>
  <c r="V222" i="1"/>
  <c r="Y223" i="1"/>
  <c r="V223" i="1" s="1"/>
  <c r="X224" i="1"/>
  <c r="V224" i="1" s="1"/>
  <c r="W225" i="1"/>
  <c r="AA225" i="1"/>
  <c r="X226" i="1"/>
  <c r="V226" i="1" s="1"/>
  <c r="V227" i="1"/>
  <c r="W228" i="1"/>
  <c r="AA228" i="1"/>
  <c r="W229" i="1"/>
  <c r="V229" i="1" s="1"/>
  <c r="AA230" i="1"/>
  <c r="V230" i="1" s="1"/>
  <c r="AD231" i="1"/>
  <c r="V231" i="1" s="1"/>
  <c r="AG232" i="1"/>
  <c r="V232" i="1" s="1"/>
  <c r="AA233" i="1"/>
  <c r="V233" i="1" s="1"/>
  <c r="W234" i="1"/>
  <c r="V234" i="1" s="1"/>
  <c r="AA235" i="1"/>
  <c r="V235" i="1" s="1"/>
  <c r="AC236" i="1"/>
  <c r="V236" i="1" s="1"/>
  <c r="W237" i="1"/>
  <c r="V237" i="1" s="1"/>
  <c r="W238" i="1"/>
  <c r="V238" i="1" s="1"/>
  <c r="AA239" i="1"/>
  <c r="V239" i="1" s="1"/>
  <c r="AA240" i="1"/>
  <c r="V240" i="1" s="1"/>
  <c r="AA241" i="1"/>
  <c r="V241" i="1" s="1"/>
  <c r="AA242" i="1"/>
  <c r="V242" i="1" s="1"/>
  <c r="AA243" i="1"/>
  <c r="V243" i="1" s="1"/>
  <c r="V244" i="1"/>
  <c r="AC245" i="1"/>
  <c r="AF245" i="1"/>
  <c r="AA246" i="1"/>
  <c r="V246" i="1" s="1"/>
  <c r="AA247" i="1"/>
  <c r="V247" i="1" s="1"/>
  <c r="V248" i="1"/>
  <c r="W249" i="1"/>
  <c r="V249" i="1" s="1"/>
  <c r="W250" i="1"/>
  <c r="AI250" i="1"/>
  <c r="AI118" i="1" s="1"/>
  <c r="W251" i="1"/>
  <c r="V251" i="1" s="1"/>
  <c r="V252" i="1"/>
  <c r="W253" i="1"/>
  <c r="V253" i="1" s="1"/>
  <c r="AA254" i="1"/>
  <c r="V254" i="1" s="1"/>
  <c r="AA255" i="1"/>
  <c r="V255" i="1" s="1"/>
  <c r="V256" i="1"/>
  <c r="AA257" i="1"/>
  <c r="V257" i="1" s="1"/>
  <c r="W258" i="1"/>
  <c r="V258" i="1" s="1"/>
  <c r="W259" i="1"/>
  <c r="V259" i="1" s="1"/>
  <c r="W260" i="1"/>
  <c r="V260" i="1" s="1"/>
  <c r="W261" i="1"/>
  <c r="V261" i="1" s="1"/>
  <c r="AC262" i="1"/>
  <c r="V262" i="1" s="1"/>
  <c r="V263" i="1"/>
  <c r="W264" i="1"/>
  <c r="V264" i="1" s="1"/>
  <c r="W265" i="1"/>
  <c r="V265" i="1" s="1"/>
  <c r="V266" i="1"/>
  <c r="AA267" i="1"/>
  <c r="V267" i="1" s="1"/>
  <c r="W268" i="1"/>
  <c r="V268" i="1" s="1"/>
  <c r="AA269" i="1"/>
  <c r="V269" i="1" s="1"/>
  <c r="AA270" i="1"/>
  <c r="V270" i="1" s="1"/>
  <c r="V271" i="1"/>
  <c r="V272" i="1"/>
  <c r="V273" i="1"/>
  <c r="V274" i="1"/>
  <c r="V275" i="1"/>
  <c r="V276" i="1"/>
  <c r="V277" i="1"/>
  <c r="V278" i="1"/>
  <c r="V279" i="1"/>
  <c r="W280" i="1"/>
  <c r="V280" i="1" s="1"/>
  <c r="AC58" i="1" l="1"/>
  <c r="V191" i="1"/>
  <c r="V165" i="1"/>
  <c r="AF118" i="1"/>
  <c r="V166" i="1"/>
  <c r="AD58" i="1"/>
  <c r="AD6" i="1" s="1"/>
  <c r="V228" i="1"/>
  <c r="V127" i="1"/>
  <c r="AC118" i="1"/>
  <c r="AC6" i="1" s="1"/>
  <c r="Q6" i="1"/>
  <c r="Y118" i="1"/>
  <c r="V7" i="1"/>
  <c r="AO7" i="1" s="1"/>
  <c r="P6" i="1"/>
  <c r="V68" i="1"/>
  <c r="X58" i="1"/>
  <c r="X6" i="1" s="1"/>
  <c r="N6" i="1"/>
  <c r="V155" i="1"/>
  <c r="V225" i="1"/>
  <c r="K6" i="1"/>
  <c r="V215" i="1"/>
  <c r="AK6" i="1"/>
  <c r="X118" i="1"/>
  <c r="AJ6" i="1"/>
  <c r="E6" i="1"/>
  <c r="AA58" i="1"/>
  <c r="AA6" i="1" s="1"/>
  <c r="V245" i="1"/>
  <c r="AA118" i="1"/>
  <c r="V250" i="1"/>
  <c r="V171" i="1"/>
  <c r="V120" i="1"/>
  <c r="V44" i="1"/>
  <c r="AH6" i="1"/>
  <c r="V157" i="1"/>
  <c r="AU7" i="1"/>
  <c r="AF6" i="1"/>
  <c r="AQ7" i="1"/>
  <c r="AG6" i="1"/>
  <c r="AI6" i="1"/>
  <c r="AE6" i="1"/>
  <c r="AB118" i="1"/>
  <c r="V73" i="1"/>
  <c r="Z118" i="1"/>
  <c r="Z6" i="1" s="1"/>
  <c r="AT7" i="1"/>
  <c r="Y6" i="1"/>
  <c r="V122" i="1"/>
  <c r="AS7" i="1"/>
  <c r="AD118" i="1"/>
  <c r="W118" i="1"/>
  <c r="AB58" i="1"/>
  <c r="V75" i="1"/>
  <c r="V123" i="1"/>
  <c r="V58" i="1" l="1"/>
  <c r="AV7" i="1"/>
  <c r="AR7" i="1"/>
  <c r="BA7" i="1"/>
  <c r="BD7" i="1"/>
  <c r="AP7" i="1"/>
  <c r="AY7" i="1"/>
  <c r="AW7" i="1"/>
  <c r="AX7" i="1"/>
  <c r="AZ7" i="1"/>
  <c r="BB7" i="1"/>
  <c r="BC7" i="1"/>
  <c r="AO58" i="1"/>
  <c r="AW58" i="1"/>
  <c r="BA58" i="1"/>
  <c r="AZ58" i="1"/>
  <c r="AS58" i="1"/>
  <c r="AV58" i="1"/>
  <c r="V6" i="1"/>
  <c r="AR6" i="1" s="1"/>
  <c r="AR58" i="1"/>
  <c r="AY58" i="1"/>
  <c r="BB58" i="1"/>
  <c r="AP58" i="1"/>
  <c r="AQ58" i="1"/>
  <c r="AX58" i="1"/>
  <c r="AU58" i="1"/>
  <c r="AT58" i="1"/>
  <c r="V118" i="1"/>
  <c r="AV118" i="1" s="1"/>
  <c r="W6" i="1"/>
  <c r="AB6" i="1"/>
  <c r="AP6" i="1" l="1"/>
  <c r="BA6" i="1"/>
  <c r="AV6" i="1"/>
  <c r="AO6" i="1"/>
  <c r="AO118" i="1"/>
  <c r="AT6" i="1"/>
  <c r="AQ6" i="1"/>
  <c r="AY6" i="1"/>
  <c r="AW6" i="1"/>
  <c r="AS6" i="1"/>
  <c r="AU6" i="1"/>
  <c r="BD6" i="1"/>
  <c r="BB6" i="1"/>
  <c r="BC6" i="1"/>
  <c r="AZ6" i="1"/>
  <c r="AX6" i="1"/>
  <c r="AY118" i="1"/>
  <c r="AU118" i="1"/>
  <c r="AQ118" i="1"/>
  <c r="AS118" i="1"/>
  <c r="AZ118" i="1"/>
  <c r="AP118" i="1"/>
  <c r="BA118" i="1"/>
  <c r="AW118" i="1"/>
  <c r="AX118" i="1"/>
  <c r="AT118" i="1"/>
  <c r="AR1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Win10</author>
  </authors>
  <commentList>
    <comment ref="D215" authorId="0" shapeId="0" xr:uid="{F897939A-1AA6-4071-831D-66FF2B4A2D56}">
      <text>
        <r>
          <rPr>
            <b/>
            <sz val="9"/>
            <color indexed="81"/>
            <rFont val="돋움"/>
            <family val="3"/>
            <charset val="129"/>
          </rPr>
          <t>불정로</t>
        </r>
        <r>
          <rPr>
            <b/>
            <sz val="9"/>
            <color indexed="81"/>
            <rFont val="Tahoma"/>
            <family val="2"/>
          </rPr>
          <t>386</t>
        </r>
        <r>
          <rPr>
            <b/>
            <sz val="9"/>
            <color indexed="81"/>
            <rFont val="돋움"/>
            <family val="3"/>
            <charset val="129"/>
          </rPr>
          <t xml:space="preserve">번길
</t>
        </r>
      </text>
    </comment>
  </commentList>
</comments>
</file>

<file path=xl/sharedStrings.xml><?xml version="1.0" encoding="utf-8"?>
<sst xmlns="http://schemas.openxmlformats.org/spreadsheetml/2006/main" count="1534" uniqueCount="912">
  <si>
    <t>대왕참
나무</t>
    <phoneticPr fontId="2" type="noConversion"/>
  </si>
  <si>
    <t>목련</t>
    <phoneticPr fontId="2" type="noConversion"/>
  </si>
  <si>
    <t>상수리
나무</t>
    <phoneticPr fontId="2" type="noConversion"/>
  </si>
  <si>
    <t>중국단풍</t>
    <phoneticPr fontId="2" type="noConversion"/>
  </si>
  <si>
    <t>회화나무</t>
    <phoneticPr fontId="2" type="noConversion"/>
  </si>
  <si>
    <t>소나무</t>
    <phoneticPr fontId="2" type="noConversion"/>
  </si>
  <si>
    <t>칠엽수</t>
    <phoneticPr fontId="2" type="noConversion"/>
  </si>
  <si>
    <t>이팝나무</t>
    <phoneticPr fontId="2" type="noConversion"/>
  </si>
  <si>
    <t>왕벚나무</t>
    <phoneticPr fontId="2" type="noConversion"/>
  </si>
  <si>
    <t>느티나무</t>
    <phoneticPr fontId="2" type="noConversion"/>
  </si>
  <si>
    <t>목백합</t>
  </si>
  <si>
    <t>메타세콰이어</t>
  </si>
  <si>
    <t>버즘나무</t>
    <phoneticPr fontId="2" type="noConversion"/>
  </si>
  <si>
    <t>은행나무</t>
    <phoneticPr fontId="2" type="noConversion"/>
  </si>
  <si>
    <t>판교동 617</t>
    <phoneticPr fontId="2" type="noConversion"/>
  </si>
  <si>
    <t>판교동 586-7</t>
    <phoneticPr fontId="2" type="noConversion"/>
  </si>
  <si>
    <t>판교공원로</t>
    <phoneticPr fontId="2" type="noConversion"/>
  </si>
  <si>
    <t>분</t>
    <phoneticPr fontId="2" type="noConversion"/>
  </si>
  <si>
    <t>-</t>
    <phoneticPr fontId="2" type="noConversion"/>
  </si>
  <si>
    <t>판교대장로4차선</t>
    <phoneticPr fontId="2" type="noConversion"/>
  </si>
  <si>
    <t>서판교 터널입구</t>
    <phoneticPr fontId="2" type="noConversion"/>
  </si>
  <si>
    <t>판교대장로</t>
    <phoneticPr fontId="2" type="noConversion"/>
  </si>
  <si>
    <t>대장동 658-1</t>
    <phoneticPr fontId="2" type="noConversion"/>
  </si>
  <si>
    <t>대장동 662</t>
    <phoneticPr fontId="2" type="noConversion"/>
  </si>
  <si>
    <t>대장동 661</t>
    <phoneticPr fontId="2" type="noConversion"/>
  </si>
  <si>
    <t>판교대장로2길(대장동 658)</t>
    <phoneticPr fontId="2" type="noConversion"/>
  </si>
  <si>
    <t>대장동 626</t>
    <phoneticPr fontId="2" type="noConversion"/>
  </si>
  <si>
    <t>대장동 627-5</t>
    <phoneticPr fontId="2" type="noConversion"/>
  </si>
  <si>
    <t>판교대장로6길(626-1)</t>
    <phoneticPr fontId="2" type="noConversion"/>
  </si>
  <si>
    <t>대장동 605</t>
    <phoneticPr fontId="2" type="noConversion"/>
  </si>
  <si>
    <t>판교퍼스트힐푸르지오1단지 앞</t>
    <phoneticPr fontId="2" type="noConversion"/>
  </si>
  <si>
    <t>판교대장로7길(대장동 609)</t>
    <phoneticPr fontId="2" type="noConversion"/>
  </si>
  <si>
    <t>3.0~3.5</t>
    <phoneticPr fontId="2" type="noConversion"/>
  </si>
  <si>
    <t>대장동 663-1</t>
    <phoneticPr fontId="2" type="noConversion"/>
  </si>
  <si>
    <t>판교대장로(대장동 619)</t>
    <phoneticPr fontId="2" type="noConversion"/>
  </si>
  <si>
    <t>3.5~5.0</t>
    <phoneticPr fontId="2" type="noConversion"/>
  </si>
  <si>
    <t>대장동 620</t>
    <phoneticPr fontId="2" type="noConversion"/>
  </si>
  <si>
    <t>판교대장로5길(대장동 635)</t>
    <phoneticPr fontId="2" type="noConversion"/>
  </si>
  <si>
    <t>대장동 610-4</t>
    <phoneticPr fontId="2" type="noConversion"/>
  </si>
  <si>
    <t>대장동 618</t>
    <phoneticPr fontId="2" type="noConversion"/>
  </si>
  <si>
    <t>판교대장로7길(대장동 593)</t>
    <phoneticPr fontId="2" type="noConversion"/>
  </si>
  <si>
    <t>정자동 237-10</t>
    <phoneticPr fontId="2" type="noConversion"/>
  </si>
  <si>
    <t>정자동 221-4</t>
    <phoneticPr fontId="2" type="noConversion"/>
  </si>
  <si>
    <t>불곡로</t>
    <phoneticPr fontId="2" type="noConversion"/>
  </si>
  <si>
    <t>KDB산업은행 분당지점</t>
    <phoneticPr fontId="2" type="noConversion"/>
  </si>
  <si>
    <t>서현동 264</t>
    <phoneticPr fontId="2" type="noConversion"/>
  </si>
  <si>
    <t>황새울로360번길</t>
    <phoneticPr fontId="2" type="noConversion"/>
  </si>
  <si>
    <t>올리브영 분당서현로점</t>
    <phoneticPr fontId="2" type="noConversion"/>
  </si>
  <si>
    <t>아웃백분당서현점</t>
    <phoneticPr fontId="2" type="noConversion"/>
  </si>
  <si>
    <t>황새울로359번길</t>
    <phoneticPr fontId="2" type="noConversion"/>
  </si>
  <si>
    <t>3~4</t>
    <phoneticPr fontId="2" type="noConversion"/>
  </si>
  <si>
    <t>ㅇ</t>
    <phoneticPr fontId="2" type="noConversion"/>
  </si>
  <si>
    <t>포메인서현점</t>
    <phoneticPr fontId="2" type="noConversion"/>
  </si>
  <si>
    <t>우리은행 분당중앙금융센터</t>
    <phoneticPr fontId="2" type="noConversion"/>
  </si>
  <si>
    <t>황새울로342번길</t>
    <phoneticPr fontId="2" type="noConversion"/>
  </si>
  <si>
    <t>2.5~3</t>
    <phoneticPr fontId="2" type="noConversion"/>
  </si>
  <si>
    <t>서현하우비빌딩</t>
    <phoneticPr fontId="2" type="noConversion"/>
  </si>
  <si>
    <t>성남교육지원청</t>
  </si>
  <si>
    <t>황새울로329번길</t>
    <phoneticPr fontId="2" type="noConversion"/>
  </si>
  <si>
    <t>테이블콩</t>
    <phoneticPr fontId="2" type="noConversion"/>
  </si>
  <si>
    <t>등촌샤브칼국수 정자점(정자동 146-6)</t>
    <phoneticPr fontId="2" type="noConversion"/>
  </si>
  <si>
    <t>황새울로18번길</t>
    <phoneticPr fontId="2" type="noConversion"/>
  </si>
  <si>
    <t>중산운사거리</t>
    <phoneticPr fontId="2" type="noConversion"/>
  </si>
  <si>
    <t>하산운교</t>
    <phoneticPr fontId="2" type="noConversion"/>
  </si>
  <si>
    <t>판교원로81번길</t>
    <phoneticPr fontId="2" type="noConversion"/>
  </si>
  <si>
    <t>기아자동차 판교지점</t>
    <phoneticPr fontId="2" type="noConversion"/>
  </si>
  <si>
    <t>코트야드바이메리어트(삼평동 664)</t>
    <phoneticPr fontId="2" type="noConversion"/>
  </si>
  <si>
    <t>판교역로192번길</t>
    <phoneticPr fontId="2" type="noConversion"/>
  </si>
  <si>
    <t>3~5</t>
    <phoneticPr fontId="2" type="noConversion"/>
  </si>
  <si>
    <t>지피형</t>
  </si>
  <si>
    <t>ㅇ</t>
  </si>
  <si>
    <t>환승주차장삼거리(백현동 537)</t>
    <phoneticPr fontId="2" type="noConversion"/>
  </si>
  <si>
    <t>크래프톤타워</t>
    <phoneticPr fontId="2" type="noConversion"/>
  </si>
  <si>
    <t>상업</t>
    <phoneticPr fontId="2" type="noConversion"/>
  </si>
  <si>
    <t>판교역로146번길</t>
    <phoneticPr fontId="2" type="noConversion"/>
  </si>
  <si>
    <t>백현동 568-2</t>
    <phoneticPr fontId="2" type="noConversion"/>
  </si>
  <si>
    <t>뤼미에르(백현동 579-2)</t>
    <phoneticPr fontId="2" type="noConversion"/>
  </si>
  <si>
    <t>판교역로50번길</t>
    <phoneticPr fontId="2" type="noConversion"/>
  </si>
  <si>
    <t>성아운수</t>
    <phoneticPr fontId="2" type="noConversion"/>
  </si>
  <si>
    <t>한국전기공업협동조합</t>
    <phoneticPr fontId="2" type="noConversion"/>
  </si>
  <si>
    <t>판교로743번길</t>
    <phoneticPr fontId="2" type="noConversion"/>
  </si>
  <si>
    <t>테크노프라자빌딩(세븐일레븐)</t>
    <phoneticPr fontId="2" type="noConversion"/>
  </si>
  <si>
    <t>그린현대자동차 야탑동부점</t>
    <phoneticPr fontId="2" type="noConversion"/>
  </si>
  <si>
    <t>판교로715번길</t>
    <phoneticPr fontId="2" type="noConversion"/>
  </si>
  <si>
    <t>나이스가이 분당아름마을점</t>
    <phoneticPr fontId="2" type="noConversion"/>
  </si>
  <si>
    <t>GS25분당탑마을점</t>
    <phoneticPr fontId="2" type="noConversion"/>
  </si>
  <si>
    <t>판교로429번길</t>
    <phoneticPr fontId="2" type="noConversion"/>
  </si>
  <si>
    <t>이매동 137-6(BBQ분당아름마을점)</t>
    <phoneticPr fontId="2" type="noConversion"/>
  </si>
  <si>
    <t>삼호두산아파트 401동</t>
    <phoneticPr fontId="2" type="noConversion"/>
  </si>
  <si>
    <t>탄천로79번길</t>
    <phoneticPr fontId="2" type="noConversion"/>
  </si>
  <si>
    <t>2~3</t>
    <phoneticPr fontId="2" type="noConversion"/>
  </si>
  <si>
    <t>토스트럭정자역점(정자동 15-7)</t>
    <phoneticPr fontId="2" type="noConversion"/>
  </si>
  <si>
    <t>센추리 현대공인중개사사무소</t>
  </si>
  <si>
    <t>정자일로232번길</t>
    <phoneticPr fontId="2" type="noConversion"/>
  </si>
  <si>
    <t>센츄리 현대공인중개사사무소</t>
    <phoneticPr fontId="2" type="noConversion"/>
  </si>
  <si>
    <t>신한은행 백궁지점</t>
    <phoneticPr fontId="2" type="noConversion"/>
  </si>
  <si>
    <t>정자일로213번길</t>
    <phoneticPr fontId="2" type="noConversion"/>
  </si>
  <si>
    <t>아름문구(분당동 118-1)</t>
    <phoneticPr fontId="2" type="noConversion"/>
  </si>
  <si>
    <t>하이멍( 분당동 136-3)</t>
    <phoneticPr fontId="2" type="noConversion"/>
  </si>
  <si>
    <t>장안로52번길</t>
    <phoneticPr fontId="2" type="noConversion"/>
  </si>
  <si>
    <t>분당동 146-1(대한부동산)</t>
    <phoneticPr fontId="2" type="noConversion"/>
  </si>
  <si>
    <t>분당동 160-1(GS25)</t>
    <phoneticPr fontId="2" type="noConversion"/>
  </si>
  <si>
    <t>장안로16번길</t>
    <phoneticPr fontId="2" type="noConversion"/>
  </si>
  <si>
    <t>산운초삼거리( 운중동 1043)</t>
    <phoneticPr fontId="2" type="noConversion"/>
  </si>
  <si>
    <t>산운사거리(노브랜드)</t>
    <phoneticPr fontId="2" type="noConversion"/>
  </si>
  <si>
    <t>운중로166번길</t>
    <phoneticPr fontId="2" type="noConversion"/>
  </si>
  <si>
    <t>제이탑 정형외과의원(서안빌딩)</t>
    <phoneticPr fontId="2" type="noConversion"/>
  </si>
  <si>
    <t>분당 119구조대</t>
    <phoneticPr fontId="2" type="noConversion"/>
  </si>
  <si>
    <t xml:space="preserve">양현로178번길 </t>
    <phoneticPr fontId="2" type="noConversion"/>
  </si>
  <si>
    <t>목련마을 화성빌리지</t>
    <phoneticPr fontId="2" type="noConversion"/>
  </si>
  <si>
    <t>CU분당목련점(부건프라자)</t>
    <phoneticPr fontId="2" type="noConversion"/>
  </si>
  <si>
    <t>야탑로245번길</t>
    <phoneticPr fontId="2" type="noConversion"/>
  </si>
  <si>
    <t>성남시 한마음복지관</t>
    <phoneticPr fontId="2" type="noConversion"/>
  </si>
  <si>
    <t>미원빌라 목련마을</t>
    <phoneticPr fontId="2" type="noConversion"/>
  </si>
  <si>
    <t>야탑로231번길</t>
    <phoneticPr fontId="2" type="noConversion"/>
  </si>
  <si>
    <t>CU 야탑아델파크점</t>
    <phoneticPr fontId="2" type="noConversion"/>
  </si>
  <si>
    <t>바움하우스</t>
    <phoneticPr fontId="2" type="noConversion"/>
  </si>
  <si>
    <t>야탑로205번길</t>
    <phoneticPr fontId="2" type="noConversion"/>
  </si>
  <si>
    <t>감미옥 본점(야탑동 537-7)</t>
    <phoneticPr fontId="2" type="noConversion"/>
  </si>
  <si>
    <t>탑마을 선경아파트</t>
    <phoneticPr fontId="2" type="noConversion"/>
  </si>
  <si>
    <t>야탑로20번길</t>
    <phoneticPr fontId="2" type="noConversion"/>
  </si>
  <si>
    <t>금곡동 159(LG공인중개사)</t>
    <phoneticPr fontId="2" type="noConversion"/>
  </si>
  <si>
    <t>세븐일레븐 분당미금점</t>
    <phoneticPr fontId="2" type="noConversion"/>
  </si>
  <si>
    <t>성남대로172번길</t>
    <phoneticPr fontId="2" type="noConversion"/>
  </si>
  <si>
    <t>청솔마을 서광APT 103동</t>
    <phoneticPr fontId="2" type="noConversion"/>
  </si>
  <si>
    <t>거진항맛집코다리네 미금직영점</t>
    <phoneticPr fontId="2" type="noConversion"/>
  </si>
  <si>
    <t>성남대로171번길</t>
    <phoneticPr fontId="2" type="noConversion"/>
  </si>
  <si>
    <t>구미교회</t>
    <phoneticPr fontId="2" type="noConversion"/>
  </si>
  <si>
    <t>성남고용복지플러스센터</t>
    <phoneticPr fontId="2" type="noConversion"/>
  </si>
  <si>
    <t>성남대로144번길</t>
    <phoneticPr fontId="2" type="noConversion"/>
  </si>
  <si>
    <t>석운동 5-6</t>
    <phoneticPr fontId="2" type="noConversion"/>
  </si>
  <si>
    <t>석운동 46-6</t>
    <phoneticPr fontId="2" type="noConversion"/>
  </si>
  <si>
    <t>석운로202번길</t>
    <phoneticPr fontId="2" type="noConversion"/>
  </si>
  <si>
    <t>2~2.5</t>
    <phoneticPr fontId="2" type="noConversion"/>
  </si>
  <si>
    <t>서현동 258-1(싸릿골 해장국 감자탕 )</t>
    <phoneticPr fontId="2" type="noConversion"/>
  </si>
  <si>
    <t>오드니엘웨딩홀</t>
    <phoneticPr fontId="2" type="noConversion"/>
  </si>
  <si>
    <t>서현로180번길</t>
    <phoneticPr fontId="2" type="noConversion"/>
  </si>
  <si>
    <t>월선네 정자점</t>
    <phoneticPr fontId="2" type="noConversion"/>
  </si>
  <si>
    <t>정자동 165-1</t>
    <phoneticPr fontId="2" type="noConversion"/>
  </si>
  <si>
    <t>불정로23번길</t>
    <phoneticPr fontId="2" type="noConversion"/>
  </si>
  <si>
    <t>정자동 243-1</t>
    <phoneticPr fontId="2" type="noConversion"/>
  </si>
  <si>
    <t>정자동 241-12(코코)</t>
    <phoneticPr fontId="2" type="noConversion"/>
  </si>
  <si>
    <t>불곡북로13번길</t>
    <phoneticPr fontId="2" type="noConversion"/>
  </si>
  <si>
    <t>정자동 222-11(정원부동산)</t>
    <phoneticPr fontId="2" type="noConversion"/>
  </si>
  <si>
    <t>정자동 222-6(선한레시피)</t>
    <phoneticPr fontId="2" type="noConversion"/>
  </si>
  <si>
    <t>불곡로13번길</t>
    <phoneticPr fontId="2" type="noConversion"/>
  </si>
  <si>
    <t>정자동 223-8</t>
    <phoneticPr fontId="2" type="noConversion"/>
  </si>
  <si>
    <t>정자동 223-14</t>
    <phoneticPr fontId="2" type="noConversion"/>
  </si>
  <si>
    <t>불곡남로13번길</t>
    <phoneticPr fontId="2" type="noConversion"/>
  </si>
  <si>
    <t>수내동 89-1(신해철거리)</t>
    <phoneticPr fontId="2" type="noConversion"/>
  </si>
  <si>
    <t>셀럽몽(수내동 88-5)</t>
    <phoneticPr fontId="2" type="noConversion"/>
  </si>
  <si>
    <t>발이봉로3번길</t>
    <phoneticPr fontId="2" type="noConversion"/>
  </si>
  <si>
    <t>구미동 9-1(이가자헤어)</t>
    <phoneticPr fontId="2" type="noConversion"/>
  </si>
  <si>
    <t>분당지구촌교회</t>
    <phoneticPr fontId="2" type="noConversion"/>
  </si>
  <si>
    <t>미금일로154번길</t>
    <phoneticPr fontId="2" type="noConversion"/>
  </si>
  <si>
    <t>송현초등학교</t>
    <phoneticPr fontId="2" type="noConversion"/>
  </si>
  <si>
    <t>동판교파출소</t>
    <phoneticPr fontId="2" type="noConversion"/>
  </si>
  <si>
    <t>동판교로266번길</t>
    <phoneticPr fontId="2" type="noConversion"/>
  </si>
  <si>
    <t>과일킹(구미동 25-2)</t>
    <phoneticPr fontId="2" type="noConversion"/>
  </si>
  <si>
    <t>돌마로90번길</t>
    <phoneticPr fontId="2" type="noConversion"/>
  </si>
  <si>
    <t>삼평동 634</t>
    <phoneticPr fontId="2" type="noConversion"/>
  </si>
  <si>
    <t>판교테크노2사거리</t>
    <phoneticPr fontId="2" type="noConversion"/>
  </si>
  <si>
    <t>대왕판교로645번길</t>
    <phoneticPr fontId="2" type="noConversion"/>
  </si>
  <si>
    <t>구미동 145-1(롯데 공인중개사 사무소)</t>
    <phoneticPr fontId="2" type="noConversion"/>
  </si>
  <si>
    <t>기아자동차 오리대리점</t>
    <phoneticPr fontId="2" type="noConversion"/>
  </si>
  <si>
    <t>금곡로7번길</t>
    <phoneticPr fontId="2" type="noConversion"/>
  </si>
  <si>
    <t>구미동 253-1</t>
    <phoneticPr fontId="2" type="noConversion"/>
  </si>
  <si>
    <t>구미사거리</t>
    <phoneticPr fontId="2" type="noConversion"/>
  </si>
  <si>
    <t>구미로174번길</t>
    <phoneticPr fontId="2" type="noConversion"/>
  </si>
  <si>
    <t>미금교삼거리</t>
    <phoneticPr fontId="2" type="noConversion"/>
  </si>
  <si>
    <t>구미로173번길</t>
    <phoneticPr fontId="2" type="noConversion"/>
  </si>
  <si>
    <t>구미동 185-7(향정프라자,담불공인중개사 )</t>
    <phoneticPr fontId="2" type="noConversion"/>
  </si>
  <si>
    <t>(YMCA)LH스포츠센터</t>
    <phoneticPr fontId="2" type="noConversion"/>
  </si>
  <si>
    <t>구미로9번길</t>
    <phoneticPr fontId="2" type="noConversion"/>
  </si>
  <si>
    <t>여수동입구교차로</t>
    <phoneticPr fontId="2" type="noConversion"/>
  </si>
  <si>
    <t>하탑삼거리</t>
    <phoneticPr fontId="2" type="noConversion"/>
  </si>
  <si>
    <t>매화로</t>
    <phoneticPr fontId="2" type="noConversion"/>
  </si>
  <si>
    <t>분당샘물교회</t>
    <phoneticPr fontId="2" type="noConversion"/>
  </si>
  <si>
    <t>정자동 126-1(쥬씨)</t>
    <phoneticPr fontId="2" type="noConversion"/>
  </si>
  <si>
    <t>정자로76번길</t>
    <phoneticPr fontId="2" type="noConversion"/>
  </si>
  <si>
    <t>봉우재 어린이공원</t>
    <phoneticPr fontId="2" type="noConversion"/>
  </si>
  <si>
    <t>원조멸치국수 정자점</t>
    <phoneticPr fontId="2" type="noConversion"/>
  </si>
  <si>
    <t>내정로17번길</t>
    <phoneticPr fontId="2" type="noConversion"/>
  </si>
  <si>
    <t>구미동 192-3</t>
    <phoneticPr fontId="2" type="noConversion"/>
  </si>
  <si>
    <t>농수산물센터사거리</t>
    <phoneticPr fontId="2" type="noConversion"/>
  </si>
  <si>
    <t>성남대로2번길</t>
    <phoneticPr fontId="2" type="noConversion"/>
  </si>
  <si>
    <t>SK텔레콤 분당 사옥</t>
    <phoneticPr fontId="2" type="noConversion"/>
  </si>
  <si>
    <t>백현교사거리</t>
    <phoneticPr fontId="2" type="noConversion"/>
  </si>
  <si>
    <t>황새울로200번길~258번길</t>
    <phoneticPr fontId="2" type="noConversion"/>
  </si>
  <si>
    <t>오리공원</t>
    <phoneticPr fontId="2" type="noConversion"/>
  </si>
  <si>
    <t>오리역1번출구</t>
    <phoneticPr fontId="2" type="noConversion"/>
  </si>
  <si>
    <t>성남대로54번길</t>
    <phoneticPr fontId="2" type="noConversion"/>
  </si>
  <si>
    <t>구미초등학교</t>
    <phoneticPr fontId="2" type="noConversion"/>
  </si>
  <si>
    <t>구미동 212-1(롯데슈퍼)</t>
    <phoneticPr fontId="2" type="noConversion"/>
  </si>
  <si>
    <t>미금로22번길</t>
    <phoneticPr fontId="2" type="noConversion"/>
  </si>
  <si>
    <t>정자동 234-1</t>
    <phoneticPr fontId="2" type="noConversion"/>
  </si>
  <si>
    <t>정자동 219-4(하이카트 정자점)</t>
    <phoneticPr fontId="2" type="noConversion"/>
  </si>
  <si>
    <t>불곡남로</t>
    <phoneticPr fontId="2" type="noConversion"/>
  </si>
  <si>
    <t>정자동 249-7</t>
    <phoneticPr fontId="2" type="noConversion"/>
  </si>
  <si>
    <t>정자동 219-1(쎄덱 분당점)</t>
    <phoneticPr fontId="2" type="noConversion"/>
  </si>
  <si>
    <t>불곡북로</t>
    <phoneticPr fontId="2" type="noConversion"/>
  </si>
  <si>
    <t>분당그린피아골프</t>
    <phoneticPr fontId="2" type="noConversion"/>
  </si>
  <si>
    <t>서현동 먹자골목</t>
    <phoneticPr fontId="2" type="noConversion"/>
  </si>
  <si>
    <t>새마을로</t>
    <phoneticPr fontId="2" type="noConversion"/>
  </si>
  <si>
    <t>장안중삼거리</t>
    <phoneticPr fontId="2" type="noConversion"/>
  </si>
  <si>
    <t>분당동 170-7(일파티하우스)</t>
    <phoneticPr fontId="2" type="noConversion"/>
  </si>
  <si>
    <t>장안로</t>
    <phoneticPr fontId="2" type="noConversion"/>
  </si>
  <si>
    <t>장안교</t>
    <phoneticPr fontId="2" type="noConversion"/>
  </si>
  <si>
    <t>아이원빌(C동)</t>
    <phoneticPr fontId="2" type="noConversion"/>
  </si>
  <si>
    <t>장안로51번길</t>
    <phoneticPr fontId="2" type="noConversion"/>
  </si>
  <si>
    <t>분당동 147-3(까사벨라)</t>
    <phoneticPr fontId="2" type="noConversion"/>
  </si>
  <si>
    <t>분당동 142(청구빌라 401동)</t>
    <phoneticPr fontId="2" type="noConversion"/>
  </si>
  <si>
    <t>분당로359번길</t>
    <phoneticPr fontId="2" type="noConversion"/>
  </si>
  <si>
    <t>2~4</t>
    <phoneticPr fontId="2" type="noConversion"/>
  </si>
  <si>
    <t>500m</t>
    <phoneticPr fontId="2" type="noConversion"/>
  </si>
  <si>
    <t>느티+상수리, 벚+상수리</t>
    <phoneticPr fontId="2" type="noConversion"/>
  </si>
  <si>
    <t>SK엔크린분당공원주유소</t>
    <phoneticPr fontId="2" type="noConversion"/>
  </si>
  <si>
    <t>시범단지한양아파트 301동</t>
    <phoneticPr fontId="2" type="noConversion"/>
  </si>
  <si>
    <t>중앙공원로</t>
    <phoneticPr fontId="2" type="noConversion"/>
  </si>
  <si>
    <t>3~6</t>
    <phoneticPr fontId="2" type="noConversion"/>
  </si>
  <si>
    <t>2~6</t>
    <phoneticPr fontId="2" type="noConversion"/>
  </si>
  <si>
    <t>지피형</t>
    <phoneticPr fontId="2" type="noConversion"/>
  </si>
  <si>
    <t>분당동 138
세븐일레븐 서현지엔느점</t>
    <phoneticPr fontId="2" type="noConversion"/>
  </si>
  <si>
    <t>세븐일레븐 서현지엔느점
분당동 138</t>
    <phoneticPr fontId="2" type="noConversion"/>
  </si>
  <si>
    <t>일반생활</t>
    <phoneticPr fontId="2" type="noConversion"/>
  </si>
  <si>
    <t>2.7
2.3</t>
    <phoneticPr fontId="2" type="noConversion"/>
  </si>
  <si>
    <t>중앙공원로31번길~장안로26번길
장안로41번길~중앙공원로39번길</t>
    <phoneticPr fontId="2" type="noConversion"/>
  </si>
  <si>
    <t>효자촌대명(106동)</t>
    <phoneticPr fontId="2" type="noConversion"/>
  </si>
  <si>
    <t>대진고사거리</t>
    <phoneticPr fontId="2" type="noConversion"/>
  </si>
  <si>
    <t>분당로263번길</t>
    <phoneticPr fontId="2" type="noConversion"/>
  </si>
  <si>
    <t>글로리빌라(분당동 60-1)</t>
    <phoneticPr fontId="2" type="noConversion"/>
  </si>
  <si>
    <t>옴니빌라( 분당동 44-1)</t>
    <phoneticPr fontId="2" type="noConversion"/>
  </si>
  <si>
    <t>예원로</t>
    <phoneticPr fontId="2" type="noConversion"/>
  </si>
  <si>
    <t xml:space="preserve"> 수내동 116-9</t>
    <phoneticPr fontId="2" type="noConversion"/>
  </si>
  <si>
    <t>쌀어묵공방 수내점(장터프라자)</t>
    <phoneticPr fontId="2" type="noConversion"/>
  </si>
  <si>
    <t>발이봉북로</t>
    <phoneticPr fontId="2" type="noConversion"/>
  </si>
  <si>
    <t>주신인테리어</t>
    <phoneticPr fontId="2" type="noConversion"/>
  </si>
  <si>
    <t>수내동 109-16</t>
    <phoneticPr fontId="2" type="noConversion"/>
  </si>
  <si>
    <t>발이봉남로</t>
    <phoneticPr fontId="2" type="noConversion"/>
  </si>
  <si>
    <t>궁전프라자3(또또닭강정)</t>
    <phoneticPr fontId="2" type="noConversion"/>
  </si>
  <si>
    <t>분당종합시장(CU)</t>
    <phoneticPr fontId="2" type="noConversion"/>
  </si>
  <si>
    <t>내정로173,174번길~돌마로366번길</t>
    <phoneticPr fontId="2" type="noConversion"/>
  </si>
  <si>
    <t>수내파출소</t>
    <phoneticPr fontId="2" type="noConversion"/>
  </si>
  <si>
    <t>이디야커피수내양지마을점</t>
    <phoneticPr fontId="2" type="noConversion"/>
  </si>
  <si>
    <t>내정로165,166번길~돌마로356번길</t>
    <phoneticPr fontId="2" type="noConversion"/>
  </si>
  <si>
    <t>대보빌딩(세븐일레븐)</t>
    <phoneticPr fontId="2" type="noConversion"/>
  </si>
  <si>
    <t>효승빌딩(바이클로)</t>
    <phoneticPr fontId="2" type="noConversion"/>
  </si>
  <si>
    <t>황새울로132번길</t>
    <phoneticPr fontId="2" type="noConversion"/>
  </si>
  <si>
    <t>구미빌딩(제일공인중개사사무소)</t>
    <phoneticPr fontId="2" type="noConversion"/>
  </si>
  <si>
    <t>현대자동차 정자대리점</t>
    <phoneticPr fontId="2" type="noConversion"/>
  </si>
  <si>
    <t>백현로144번길~느티로63번길,
백현로156번길~느티로77번길</t>
    <phoneticPr fontId="2" type="noConversion"/>
  </si>
  <si>
    <t>백궁삼거리</t>
    <phoneticPr fontId="2" type="noConversion"/>
  </si>
  <si>
    <t>늘푸른고등학교</t>
    <phoneticPr fontId="2" type="noConversion"/>
  </si>
  <si>
    <t>성남대로407번길</t>
    <phoneticPr fontId="2" type="noConversion"/>
  </si>
  <si>
    <t>쌍용자동차 분당정자 영업소</t>
    <phoneticPr fontId="2" type="noConversion"/>
  </si>
  <si>
    <t>한솔사거리</t>
    <phoneticPr fontId="2" type="noConversion"/>
  </si>
  <si>
    <t>느티로</t>
    <phoneticPr fontId="2" type="noConversion"/>
  </si>
  <si>
    <t xml:space="preserve"> 정자동 17-6(정자역 부동산)</t>
    <phoneticPr fontId="2" type="noConversion"/>
  </si>
  <si>
    <t xml:space="preserve"> 인텔리지2타운(국립국제교육원)</t>
    <phoneticPr fontId="2" type="noConversion"/>
  </si>
  <si>
    <t>성남대로343번길</t>
    <phoneticPr fontId="2" type="noConversion"/>
  </si>
  <si>
    <t xml:space="preserve"> 인텔리지2타운(분당경찰서)</t>
    <phoneticPr fontId="2" type="noConversion"/>
  </si>
  <si>
    <t>젤존타워3차(파리바게트)</t>
    <phoneticPr fontId="2" type="noConversion"/>
  </si>
  <si>
    <t>성남대로331번길</t>
    <phoneticPr fontId="2" type="noConversion"/>
  </si>
  <si>
    <t>불정삼거리(정든마을우성6단지아파트)</t>
    <phoneticPr fontId="2" type="noConversion"/>
  </si>
  <si>
    <t>분당정자푸르지오시티오피스텔</t>
    <phoneticPr fontId="2" type="noConversion"/>
  </si>
  <si>
    <t>정자로</t>
  </si>
  <si>
    <t>무지매마을동아아파트(901동)</t>
    <phoneticPr fontId="2" type="noConversion"/>
  </si>
  <si>
    <t>구미동 254-1</t>
    <phoneticPr fontId="2" type="noConversion"/>
  </si>
  <si>
    <t>구미로144번길</t>
    <phoneticPr fontId="2" type="noConversion"/>
  </si>
  <si>
    <t>현대타운하우스</t>
    <phoneticPr fontId="2" type="noConversion"/>
  </si>
  <si>
    <t>무지개마을삼성건영아파트(1002동)</t>
    <phoneticPr fontId="2" type="noConversion"/>
  </si>
  <si>
    <t>구미로116번길</t>
    <phoneticPr fontId="2" type="noConversion"/>
  </si>
  <si>
    <t>기쁜소식분당교회</t>
    <phoneticPr fontId="2" type="noConversion"/>
  </si>
  <si>
    <t>구미파출소</t>
    <phoneticPr fontId="2" type="noConversion"/>
  </si>
  <si>
    <t>무지개로</t>
    <phoneticPr fontId="2" type="noConversion"/>
  </si>
  <si>
    <t>구미동172</t>
    <phoneticPr fontId="2" type="noConversion"/>
  </si>
  <si>
    <t>스타벅스 오리역삼거리</t>
    <phoneticPr fontId="2" type="noConversion"/>
  </si>
  <si>
    <t>성남대로43번길</t>
    <phoneticPr fontId="2" type="noConversion"/>
  </si>
  <si>
    <t>하나EZ타워</t>
    <phoneticPr fontId="2" type="noConversion"/>
  </si>
  <si>
    <t>구미동 152</t>
    <phoneticPr fontId="2" type="noConversion"/>
  </si>
  <si>
    <t>탄천상로151번길</t>
    <phoneticPr fontId="2" type="noConversion"/>
  </si>
  <si>
    <t>구미동 170-2(동성교통)</t>
    <phoneticPr fontId="2" type="noConversion"/>
  </si>
  <si>
    <t>구미동 174(농협셀프주유소)</t>
    <phoneticPr fontId="2" type="noConversion"/>
  </si>
  <si>
    <t>탄천상로163번길</t>
    <phoneticPr fontId="2" type="noConversion"/>
  </si>
  <si>
    <t>코너546</t>
    <phoneticPr fontId="2" type="noConversion"/>
  </si>
  <si>
    <t>분당프라자</t>
    <phoneticPr fontId="2" type="noConversion"/>
  </si>
  <si>
    <t>미금일로90번길</t>
    <phoneticPr fontId="2" type="noConversion"/>
  </si>
  <si>
    <t>스타벅스 미금역사거리점</t>
    <phoneticPr fontId="2" type="noConversion"/>
  </si>
  <si>
    <t>지구촌교회비젼센터</t>
    <phoneticPr fontId="2" type="noConversion"/>
  </si>
  <si>
    <t>성남대로143번길</t>
    <phoneticPr fontId="2" type="noConversion"/>
  </si>
  <si>
    <t>구미동 144-4(파리바게트)</t>
    <phoneticPr fontId="2" type="noConversion"/>
  </si>
  <si>
    <t>구미동 123-5(칼국수한마당)</t>
    <phoneticPr fontId="2" type="noConversion"/>
  </si>
  <si>
    <t>금곡로25번길</t>
    <phoneticPr fontId="2" type="noConversion"/>
  </si>
  <si>
    <t>서현동 264(GATE3)</t>
    <phoneticPr fontId="2" type="noConversion"/>
  </si>
  <si>
    <t>유니퀘스트빌딩</t>
    <phoneticPr fontId="2" type="noConversion"/>
  </si>
  <si>
    <t>황새울로312번길</t>
    <phoneticPr fontId="2" type="noConversion"/>
  </si>
  <si>
    <t>메가박스(분당점)</t>
    <phoneticPr fontId="2" type="noConversion"/>
  </si>
  <si>
    <t>이종훈여성한의원</t>
    <phoneticPr fontId="2" type="noConversion"/>
  </si>
  <si>
    <t>황새울로330번길</t>
    <phoneticPr fontId="2" type="noConversion"/>
  </si>
  <si>
    <t>바이오메디컬연구센터</t>
    <phoneticPr fontId="2" type="noConversion"/>
  </si>
  <si>
    <t>서현동 260-6</t>
    <phoneticPr fontId="2" type="noConversion"/>
  </si>
  <si>
    <t>황새울로341번길</t>
    <phoneticPr fontId="2" type="noConversion"/>
  </si>
  <si>
    <t>분당제일여성병원</t>
    <phoneticPr fontId="2" type="noConversion"/>
  </si>
  <si>
    <t>한라시그마파크오피스텔</t>
    <phoneticPr fontId="2" type="noConversion"/>
  </si>
  <si>
    <t>황새울로311번길</t>
    <phoneticPr fontId="2" type="noConversion"/>
  </si>
  <si>
    <t>0.8km + 1.4km</t>
    <phoneticPr fontId="2" type="noConversion"/>
  </si>
  <si>
    <t>중단+중단(사송교사거리~야탑사거리), 버즘+중단(야탑사거리~)</t>
    <phoneticPr fontId="2" type="noConversion"/>
  </si>
  <si>
    <t>황새울공원</t>
    <phoneticPr fontId="2" type="noConversion"/>
  </si>
  <si>
    <t>도촌사거리</t>
    <phoneticPr fontId="2" type="noConversion"/>
  </si>
  <si>
    <t>양현로</t>
    <phoneticPr fontId="2" type="noConversion"/>
  </si>
  <si>
    <t xml:space="preserve"> </t>
    <phoneticPr fontId="2" type="noConversion"/>
  </si>
  <si>
    <t>이매동 119(구렛들 어린이공원)</t>
    <phoneticPr fontId="2" type="noConversion"/>
  </si>
  <si>
    <t>이매촌청구아파트 608동</t>
    <phoneticPr fontId="2" type="noConversion"/>
  </si>
  <si>
    <t>구렛들길(양현로94번길)</t>
    <phoneticPr fontId="2" type="noConversion"/>
  </si>
  <si>
    <t>럭키어린이집</t>
    <phoneticPr fontId="2" type="noConversion"/>
  </si>
  <si>
    <t>아름마을선경아파트 605동</t>
    <phoneticPr fontId="2" type="noConversion"/>
  </si>
  <si>
    <t>이매로</t>
    <phoneticPr fontId="2" type="noConversion"/>
  </si>
  <si>
    <t>3~3.5</t>
    <phoneticPr fontId="2" type="noConversion"/>
  </si>
  <si>
    <t>아름마을삼호아파트</t>
    <phoneticPr fontId="2" type="noConversion"/>
  </si>
  <si>
    <t>물방아삼거리</t>
    <phoneticPr fontId="2" type="noConversion"/>
  </si>
  <si>
    <t>성남대로779번길</t>
    <phoneticPr fontId="2" type="noConversion"/>
  </si>
  <si>
    <t>야탑동 273-3(세계로 할인마트)</t>
    <phoneticPr fontId="2" type="noConversion"/>
  </si>
  <si>
    <t>포레스트하우스오피스텔</t>
    <phoneticPr fontId="2" type="noConversion"/>
  </si>
  <si>
    <t>중탑길(벌말로30번길)</t>
    <phoneticPr fontId="2" type="noConversion"/>
  </si>
  <si>
    <t>야탑동 219-3(투아이센터)</t>
    <phoneticPr fontId="2" type="noConversion"/>
  </si>
  <si>
    <t>야탑동 272-1(파리바게트)</t>
    <phoneticPr fontId="2" type="noConversion"/>
  </si>
  <si>
    <t>매화마을길(벌말로50번길)</t>
    <phoneticPr fontId="2" type="noConversion"/>
  </si>
  <si>
    <t>원조골뱅이 야탑점</t>
    <phoneticPr fontId="2" type="noConversion"/>
  </si>
  <si>
    <t>야탑동 367-6</t>
    <phoneticPr fontId="2" type="noConversion"/>
  </si>
  <si>
    <t>맛고을길
(장미로86번길, 야탑로105번길)</t>
    <phoneticPr fontId="2" type="noConversion"/>
  </si>
  <si>
    <t>분당차병원</t>
    <phoneticPr fontId="2" type="noConversion"/>
  </si>
  <si>
    <t>대법원전산센터</t>
    <phoneticPr fontId="2" type="noConversion"/>
  </si>
  <si>
    <t>야탑로65번길</t>
    <phoneticPr fontId="2" type="noConversion"/>
  </si>
  <si>
    <t>아미고불한증막사우나</t>
    <phoneticPr fontId="2" type="noConversion"/>
  </si>
  <si>
    <t>야탑포토</t>
    <phoneticPr fontId="2" type="noConversion"/>
  </si>
  <si>
    <t>야탑로81번길</t>
    <phoneticPr fontId="2" type="noConversion"/>
  </si>
  <si>
    <t>야톱동 348</t>
    <phoneticPr fontId="2" type="noConversion"/>
  </si>
  <si>
    <t>양현로310번길</t>
    <phoneticPr fontId="2" type="noConversion"/>
  </si>
  <si>
    <t>대법원전산정보센터</t>
    <phoneticPr fontId="2" type="noConversion"/>
  </si>
  <si>
    <t>HOSTWAY</t>
    <phoneticPr fontId="2" type="noConversion"/>
  </si>
  <si>
    <t>장미로38번길</t>
    <phoneticPr fontId="2" type="noConversion"/>
  </si>
  <si>
    <t>KT분당IDC</t>
    <phoneticPr fontId="2" type="noConversion"/>
  </si>
  <si>
    <t>코리아디자인센터</t>
    <phoneticPr fontId="2" type="noConversion"/>
  </si>
  <si>
    <t>장미로30번길</t>
    <phoneticPr fontId="2" type="noConversion"/>
  </si>
  <si>
    <t>홈플러스 야탑점(ABC마트)</t>
    <phoneticPr fontId="2" type="noConversion"/>
  </si>
  <si>
    <t>파인티지털(커피에반하다)</t>
    <phoneticPr fontId="2" type="noConversion"/>
  </si>
  <si>
    <t>성남대로925번길</t>
    <phoneticPr fontId="2" type="noConversion"/>
  </si>
  <si>
    <t>명가원설농탕 야탑</t>
    <phoneticPr fontId="2" type="noConversion"/>
  </si>
  <si>
    <t>행복한안경(야탑동 342-1)</t>
    <phoneticPr fontId="2" type="noConversion"/>
  </si>
  <si>
    <t>장미로48번길</t>
    <phoneticPr fontId="2" type="noConversion"/>
  </si>
  <si>
    <t>정자동 188-2</t>
    <phoneticPr fontId="2" type="noConversion"/>
  </si>
  <si>
    <t>낙생교(기아자동차 오리대리점)</t>
    <phoneticPr fontId="2" type="noConversion"/>
  </si>
  <si>
    <t>금곡로</t>
  </si>
  <si>
    <t>불곡중학교</t>
    <phoneticPr fontId="2" type="noConversion"/>
  </si>
  <si>
    <t>한국과학기술한림원</t>
    <phoneticPr fontId="2" type="noConversion"/>
  </si>
  <si>
    <t>미금일로</t>
    <phoneticPr fontId="2" type="noConversion"/>
  </si>
  <si>
    <t>1.8~2.3</t>
    <phoneticPr fontId="2" type="noConversion"/>
  </si>
  <si>
    <t>정자동 8-1</t>
    <phoneticPr fontId="2" type="noConversion"/>
  </si>
  <si>
    <t>하겐다즈 분당미금점</t>
    <phoneticPr fontId="2" type="noConversion"/>
  </si>
  <si>
    <t>정자일로</t>
    <phoneticPr fontId="2" type="noConversion"/>
  </si>
  <si>
    <t>버짐+메타(~정자사거리), 메타+메타(정자사거리~)</t>
    <phoneticPr fontId="2" type="noConversion"/>
  </si>
  <si>
    <t>푸른마을삼거리</t>
    <phoneticPr fontId="2" type="noConversion"/>
  </si>
  <si>
    <t>백현1교차로</t>
    <phoneticPr fontId="2" type="noConversion"/>
  </si>
  <si>
    <t>백현로</t>
    <phoneticPr fontId="2" type="noConversion"/>
  </si>
  <si>
    <t>수내사거리</t>
    <phoneticPr fontId="2" type="noConversion"/>
  </si>
  <si>
    <t>샛별삼거리</t>
    <phoneticPr fontId="2" type="noConversion"/>
  </si>
  <si>
    <t>수내로</t>
    <phoneticPr fontId="2" type="noConversion"/>
  </si>
  <si>
    <t>티맥스타워</t>
    <phoneticPr fontId="2" type="noConversion"/>
  </si>
  <si>
    <t>무지개주공12단지아파트</t>
    <phoneticPr fontId="2" type="noConversion"/>
  </si>
  <si>
    <t>미금로</t>
  </si>
  <si>
    <t>두마레</t>
    <phoneticPr fontId="2" type="noConversion"/>
  </si>
  <si>
    <t>오리삼거리</t>
    <phoneticPr fontId="2" type="noConversion"/>
  </si>
  <si>
    <t>구미로</t>
  </si>
  <si>
    <t>대원버스분당영업소</t>
    <phoneticPr fontId="2" type="noConversion"/>
  </si>
  <si>
    <t>글로리아교회</t>
    <phoneticPr fontId="2" type="noConversion"/>
  </si>
  <si>
    <t>탄천상로</t>
  </si>
  <si>
    <t>2.7km + 0.5km</t>
    <phoneticPr fontId="2" type="noConversion"/>
  </si>
  <si>
    <t>버즘+느티(서현사거리~동대문교회), 은행+느티(동대문교회~)</t>
    <phoneticPr fontId="2" type="noConversion"/>
  </si>
  <si>
    <t>분당성요한성당</t>
    <phoneticPr fontId="2" type="noConversion"/>
  </si>
  <si>
    <t>서현교사거리</t>
    <phoneticPr fontId="2" type="noConversion"/>
  </si>
  <si>
    <t>분당로</t>
    <phoneticPr fontId="2" type="noConversion"/>
  </si>
  <si>
    <t>2.4km</t>
    <phoneticPr fontId="2" type="noConversion"/>
  </si>
  <si>
    <t xml:space="preserve">버즘+메타(야탑사거리~성남차량등록사업소) </t>
    <phoneticPr fontId="2" type="noConversion"/>
  </si>
  <si>
    <t xml:space="preserve">할렐루야교회 </t>
    <phoneticPr fontId="2" type="noConversion"/>
  </si>
  <si>
    <t>야탑동 552</t>
    <phoneticPr fontId="2" type="noConversion"/>
  </si>
  <si>
    <t>야탑로</t>
    <phoneticPr fontId="2" type="noConversion"/>
  </si>
  <si>
    <t>사송교삼거리</t>
    <phoneticPr fontId="2" type="noConversion"/>
  </si>
  <si>
    <t>매화마을4단지</t>
    <phoneticPr fontId="2" type="noConversion"/>
  </si>
  <si>
    <t>장미로</t>
    <phoneticPr fontId="2" type="noConversion"/>
  </si>
  <si>
    <t>초림삼거리(파크타운대림아파트)</t>
    <phoneticPr fontId="2" type="noConversion"/>
  </si>
  <si>
    <t>계원삼거리</t>
    <phoneticPr fontId="2" type="noConversion"/>
  </si>
  <si>
    <t>내정로</t>
  </si>
  <si>
    <t>중탑삼거리</t>
    <phoneticPr fontId="2" type="noConversion"/>
  </si>
  <si>
    <t>야탑7교</t>
    <phoneticPr fontId="2" type="noConversion"/>
  </si>
  <si>
    <t>벌말로</t>
  </si>
  <si>
    <t>한국평생교육평가원 경기성남지부</t>
    <phoneticPr fontId="2" type="noConversion"/>
  </si>
  <si>
    <t>GS금곡주유소</t>
    <phoneticPr fontId="2" type="noConversion"/>
  </si>
  <si>
    <t>불정로</t>
    <phoneticPr fontId="2" type="noConversion"/>
  </si>
  <si>
    <t>야베스밸리빌딩</t>
    <phoneticPr fontId="2" type="noConversion"/>
  </si>
  <si>
    <t>불정교사거리</t>
    <phoneticPr fontId="2" type="noConversion"/>
  </si>
  <si>
    <t>황새울로</t>
    <phoneticPr fontId="2" type="noConversion"/>
  </si>
  <si>
    <t>쉐보레서비스 분당지점</t>
    <phoneticPr fontId="2" type="noConversion"/>
  </si>
  <si>
    <t>이매고등학교</t>
    <phoneticPr fontId="2" type="noConversion"/>
  </si>
  <si>
    <t>탄천로</t>
    <phoneticPr fontId="2" type="noConversion"/>
  </si>
  <si>
    <t>2~3.5</t>
    <phoneticPr fontId="2" type="noConversion"/>
  </si>
  <si>
    <t>장미마을1단지동부아파트</t>
    <phoneticPr fontId="2" type="noConversion"/>
  </si>
  <si>
    <t>성남대로</t>
    <phoneticPr fontId="2" type="noConversion"/>
  </si>
  <si>
    <t>관목군식형</t>
  </si>
  <si>
    <t>금곡IC교</t>
    <phoneticPr fontId="2" type="noConversion"/>
  </si>
  <si>
    <t>자동차중심</t>
    <phoneticPr fontId="2" type="noConversion"/>
  </si>
  <si>
    <t>돌마로</t>
    <phoneticPr fontId="2" type="noConversion"/>
  </si>
  <si>
    <t>3~7</t>
    <phoneticPr fontId="2" type="noConversion"/>
  </si>
  <si>
    <t>3~4.5</t>
    <phoneticPr fontId="2" type="noConversion"/>
  </si>
  <si>
    <t>풍덕천삼거리(구미동 173-9)</t>
    <phoneticPr fontId="2" type="noConversion"/>
  </si>
  <si>
    <t>야탑동 485-2(사송2교, 송현공원)</t>
    <phoneticPr fontId="2" type="noConversion"/>
  </si>
  <si>
    <t>분당수서간  도시 고속화도로
(지하고가도로)</t>
    <phoneticPr fontId="2" type="noConversion"/>
  </si>
  <si>
    <t>한국지역난방공사 판교지사</t>
    <phoneticPr fontId="2" type="noConversion"/>
  </si>
  <si>
    <t>안산교</t>
    <phoneticPr fontId="2" type="noConversion"/>
  </si>
  <si>
    <t>서현로(57번지방도)</t>
    <phoneticPr fontId="2" type="noConversion"/>
  </si>
  <si>
    <t>상산운삼거리</t>
    <phoneticPr fontId="2" type="noConversion"/>
  </si>
  <si>
    <t>운중동 산 80-1</t>
    <phoneticPr fontId="2" type="noConversion"/>
  </si>
  <si>
    <t>하오개로</t>
    <phoneticPr fontId="2" type="noConversion"/>
  </si>
  <si>
    <t>운중로197번길 10</t>
    <phoneticPr fontId="2" type="noConversion"/>
  </si>
  <si>
    <t>운중동 876</t>
    <phoneticPr fontId="2" type="noConversion"/>
  </si>
  <si>
    <t>주거지인접</t>
    <phoneticPr fontId="2" type="noConversion"/>
  </si>
  <si>
    <t>산운로</t>
    <phoneticPr fontId="2" type="noConversion"/>
  </si>
  <si>
    <t>낙생고등학교</t>
    <phoneticPr fontId="2" type="noConversion"/>
  </si>
  <si>
    <t>운중로사거리</t>
    <phoneticPr fontId="2" type="noConversion"/>
  </si>
  <si>
    <t>판교원로</t>
  </si>
  <si>
    <t>다층식재형</t>
    <phoneticPr fontId="2" type="noConversion"/>
  </si>
  <si>
    <t>산운마을14단지경남아너스빌아파트</t>
    <phoneticPr fontId="2" type="noConversion"/>
  </si>
  <si>
    <t>운중동 923</t>
    <phoneticPr fontId="2" type="noConversion"/>
  </si>
  <si>
    <t>생태네크워크</t>
    <phoneticPr fontId="2" type="noConversion"/>
  </si>
  <si>
    <t>판교원로82번길</t>
    <phoneticPr fontId="2" type="noConversion"/>
  </si>
  <si>
    <t>2~2.6</t>
    <phoneticPr fontId="2" type="noConversion"/>
  </si>
  <si>
    <t>판교동 527-5</t>
    <phoneticPr fontId="2" type="noConversion"/>
  </si>
  <si>
    <t>판교동 533</t>
    <phoneticPr fontId="2" type="noConversion"/>
  </si>
  <si>
    <t>서판교로132번길</t>
    <phoneticPr fontId="2" type="noConversion"/>
  </si>
  <si>
    <t>5~8</t>
    <phoneticPr fontId="2" type="noConversion"/>
  </si>
  <si>
    <t>낙생초 미르어린이공원</t>
    <phoneticPr fontId="2" type="noConversion"/>
  </si>
  <si>
    <t>서판교로88번길</t>
    <phoneticPr fontId="2" type="noConversion"/>
  </si>
  <si>
    <t>판교동 558-3</t>
    <phoneticPr fontId="2" type="noConversion"/>
  </si>
  <si>
    <t>판교동 555</t>
    <phoneticPr fontId="2" type="noConversion"/>
  </si>
  <si>
    <t>서판교로74번길</t>
    <phoneticPr fontId="2" type="noConversion"/>
  </si>
  <si>
    <t>전자부품연구원</t>
    <phoneticPr fontId="2" type="noConversion"/>
  </si>
  <si>
    <t xml:space="preserve"> NHN플레이허브</t>
    <phoneticPr fontId="2" type="noConversion"/>
  </si>
  <si>
    <t>대왕판교로712번길</t>
    <phoneticPr fontId="2" type="noConversion"/>
  </si>
  <si>
    <t>쉐보레 분당판교전시장</t>
    <phoneticPr fontId="2" type="noConversion"/>
  </si>
  <si>
    <t>대왕판교로644번길</t>
    <phoneticPr fontId="2" type="noConversion"/>
  </si>
  <si>
    <t>삼평동 641</t>
    <phoneticPr fontId="2" type="noConversion"/>
  </si>
  <si>
    <t>백현동 545</t>
    <phoneticPr fontId="2" type="noConversion"/>
  </si>
  <si>
    <t>대왕판교로606번길</t>
    <phoneticPr fontId="2" type="noConversion"/>
  </si>
  <si>
    <t>24시 AtoZ동물병원</t>
    <phoneticPr fontId="2" type="noConversion"/>
  </si>
  <si>
    <t>봇들교사거리</t>
    <phoneticPr fontId="2" type="noConversion"/>
  </si>
  <si>
    <t>동판교로177번길</t>
    <phoneticPr fontId="2" type="noConversion"/>
  </si>
  <si>
    <t>재넘어삼거리</t>
    <phoneticPr fontId="2" type="noConversion"/>
  </si>
  <si>
    <t>동판교로60번길</t>
    <phoneticPr fontId="2" type="noConversion"/>
  </si>
  <si>
    <t>백현동물병원</t>
    <phoneticPr fontId="2" type="noConversion"/>
  </si>
  <si>
    <t>참치에반하다</t>
    <phoneticPr fontId="2" type="noConversion"/>
  </si>
  <si>
    <t>동판교로52번길</t>
    <phoneticPr fontId="2" type="noConversion"/>
  </si>
  <si>
    <t xml:space="preserve">  SK케미칼연구소</t>
    <phoneticPr fontId="2" type="noConversion"/>
  </si>
  <si>
    <t>할리스커피(동판교M타워점)</t>
    <phoneticPr fontId="2" type="noConversion"/>
  </si>
  <si>
    <t>판교역로241번길</t>
    <phoneticPr fontId="2" type="noConversion"/>
  </si>
  <si>
    <t>한국전자무역센터</t>
    <phoneticPr fontId="2" type="noConversion"/>
  </si>
  <si>
    <t>NH농협은행(판교테크노밸리)</t>
    <phoneticPr fontId="2" type="noConversion"/>
  </si>
  <si>
    <t>판교역로242번길</t>
    <phoneticPr fontId="2" type="noConversion"/>
  </si>
  <si>
    <t>W스퀘어빌딩</t>
    <phoneticPr fontId="2" type="noConversion"/>
  </si>
  <si>
    <t>안랩본사</t>
    <phoneticPr fontId="2" type="noConversion"/>
  </si>
  <si>
    <t>판교역로226번길</t>
    <phoneticPr fontId="2" type="noConversion"/>
  </si>
  <si>
    <t>산운길2삼거리</t>
    <phoneticPr fontId="2" type="noConversion"/>
  </si>
  <si>
    <t>운중로45번길</t>
    <phoneticPr fontId="2" type="noConversion"/>
  </si>
  <si>
    <t>산운길3삼거리</t>
    <phoneticPr fontId="2" type="noConversion"/>
  </si>
  <si>
    <t>운중로113번길</t>
    <phoneticPr fontId="2" type="noConversion"/>
  </si>
  <si>
    <t>런던꽃집</t>
    <phoneticPr fontId="2" type="noConversion"/>
  </si>
  <si>
    <t>산운길4삼거리</t>
    <phoneticPr fontId="2" type="noConversion"/>
  </si>
  <si>
    <t>운중로137번길</t>
    <phoneticPr fontId="2" type="noConversion"/>
  </si>
  <si>
    <t>그리드위즈</t>
    <phoneticPr fontId="2" type="noConversion"/>
  </si>
  <si>
    <t>산운길5삼거리</t>
    <phoneticPr fontId="2" type="noConversion"/>
  </si>
  <si>
    <t>운중로165번길</t>
    <phoneticPr fontId="2" type="noConversion"/>
  </si>
  <si>
    <t>1.5~3</t>
    <phoneticPr fontId="2" type="noConversion"/>
  </si>
  <si>
    <t>에뿔라이</t>
    <phoneticPr fontId="2" type="noConversion"/>
  </si>
  <si>
    <t>한국농수산식품유통공사서울경기지역본부</t>
    <phoneticPr fontId="2" type="noConversion"/>
  </si>
  <si>
    <t>운중로225번길</t>
    <phoneticPr fontId="2" type="noConversion"/>
  </si>
  <si>
    <t>도쿄팡야(판교도서관점)</t>
    <phoneticPr fontId="2" type="noConversion"/>
  </si>
  <si>
    <t>이선생찬방</t>
    <phoneticPr fontId="2" type="noConversion"/>
  </si>
  <si>
    <t>운중로277번길</t>
  </si>
  <si>
    <t>하나은행 판교중앙지점</t>
    <phoneticPr fontId="2" type="noConversion"/>
  </si>
  <si>
    <t>분당판교청소년수련관</t>
    <phoneticPr fontId="2" type="noConversion"/>
  </si>
  <si>
    <t>운중로243번길</t>
  </si>
  <si>
    <t>NS홈쇼핑별관</t>
    <phoneticPr fontId="2" type="noConversion"/>
  </si>
  <si>
    <t>미동육교</t>
    <phoneticPr fontId="2" type="noConversion"/>
  </si>
  <si>
    <t>판교로256번길</t>
    <phoneticPr fontId="2" type="noConversion"/>
  </si>
  <si>
    <t>3.5~4</t>
    <phoneticPr fontId="2" type="noConversion"/>
  </si>
  <si>
    <t>넥스챌</t>
    <phoneticPr fontId="2" type="noConversion"/>
  </si>
  <si>
    <t>한국지역난방공사판교지사</t>
    <phoneticPr fontId="2" type="noConversion"/>
  </si>
  <si>
    <t>판교로228번길</t>
    <phoneticPr fontId="2" type="noConversion"/>
  </si>
  <si>
    <t>삼평동 616-2</t>
    <phoneticPr fontId="2" type="noConversion"/>
  </si>
  <si>
    <t>판교테크노밸리우편취급국</t>
    <phoneticPr fontId="2" type="noConversion"/>
  </si>
  <si>
    <t>판교로227번길</t>
    <phoneticPr fontId="2" type="noConversion"/>
  </si>
  <si>
    <t>2.5~5</t>
    <phoneticPr fontId="2" type="noConversion"/>
  </si>
  <si>
    <t>삼평동 617-1(휴베나)</t>
    <phoneticPr fontId="2" type="noConversion"/>
  </si>
  <si>
    <t>삼평동 622(포스코ICT)</t>
    <phoneticPr fontId="2" type="noConversion"/>
  </si>
  <si>
    <t>판교로255번길</t>
    <phoneticPr fontId="2" type="noConversion"/>
  </si>
  <si>
    <t>삼평동 698-1(삼양디스커버리센터)</t>
    <phoneticPr fontId="2" type="noConversion"/>
  </si>
  <si>
    <t>삼평동 690-1(gs셀프주유소)</t>
    <phoneticPr fontId="2" type="noConversion"/>
  </si>
  <si>
    <t>판교로319번길</t>
    <phoneticPr fontId="2" type="noConversion"/>
  </si>
  <si>
    <t>NHN플레이허브</t>
    <phoneticPr fontId="2" type="noConversion"/>
  </si>
  <si>
    <t xml:space="preserve"> 삼평동 693-2</t>
    <phoneticPr fontId="2" type="noConversion"/>
  </si>
  <si>
    <t>판교로289번길</t>
    <phoneticPr fontId="2" type="noConversion"/>
  </si>
  <si>
    <t>2.0~3.0</t>
    <phoneticPr fontId="2" type="noConversion"/>
  </si>
  <si>
    <t>판교동 639-2</t>
    <phoneticPr fontId="2" type="noConversion"/>
  </si>
  <si>
    <t xml:space="preserve"> 판교동 480</t>
    <phoneticPr fontId="2" type="noConversion"/>
  </si>
  <si>
    <t>서판교로</t>
    <phoneticPr fontId="2" type="noConversion"/>
  </si>
  <si>
    <t>판교어린이도서관</t>
    <phoneticPr fontId="2" type="noConversion"/>
  </si>
  <si>
    <t>숲풍지하차도</t>
    <phoneticPr fontId="2" type="noConversion"/>
  </si>
  <si>
    <t>동판교로</t>
    <phoneticPr fontId="2" type="noConversion"/>
  </si>
  <si>
    <t>백현동 582-12</t>
    <phoneticPr fontId="2" type="noConversion"/>
  </si>
  <si>
    <t>SK케미칼연구소</t>
    <phoneticPr fontId="2" type="noConversion"/>
  </si>
  <si>
    <t>판교역로</t>
    <phoneticPr fontId="2" type="noConversion"/>
  </si>
  <si>
    <t>2.5km</t>
    <phoneticPr fontId="2" type="noConversion"/>
  </si>
  <si>
    <t>버즘+중단(하탑사거리~SK분당 탑주유소)</t>
    <phoneticPr fontId="2" type="noConversion"/>
  </si>
  <si>
    <t>사각</t>
    <phoneticPr fontId="2" type="noConversion"/>
  </si>
  <si>
    <t>분당메모리얼파크</t>
    <phoneticPr fontId="2" type="noConversion"/>
  </si>
  <si>
    <t>하산운교차로(경기 성남)</t>
    <phoneticPr fontId="2" type="noConversion"/>
  </si>
  <si>
    <t>판교로</t>
    <phoneticPr fontId="2" type="noConversion"/>
  </si>
  <si>
    <t>4~6</t>
    <phoneticPr fontId="2" type="noConversion"/>
  </si>
  <si>
    <t xml:space="preserve"> 판교동 584-1(널다리교)</t>
    <phoneticPr fontId="2" type="noConversion"/>
  </si>
  <si>
    <t>운중동 903(운중교차로)</t>
    <phoneticPr fontId="2" type="noConversion"/>
  </si>
  <si>
    <t>운중로</t>
    <phoneticPr fontId="2" type="noConversion"/>
  </si>
  <si>
    <t>동천고가차도교차로</t>
    <phoneticPr fontId="2" type="noConversion"/>
  </si>
  <si>
    <t>삼평1교</t>
    <phoneticPr fontId="2" type="noConversion"/>
  </si>
  <si>
    <t>대왕판교로</t>
    <phoneticPr fontId="2" type="noConversion"/>
  </si>
  <si>
    <t>사송지하차도</t>
    <phoneticPr fontId="2" type="noConversion"/>
  </si>
  <si>
    <t>초림지하차도</t>
    <phoneticPr fontId="2" type="noConversion"/>
  </si>
  <si>
    <t>분당내곡간도로</t>
    <phoneticPr fontId="2" type="noConversion"/>
  </si>
  <si>
    <t>소 계</t>
    <phoneticPr fontId="2" type="noConversion"/>
  </si>
  <si>
    <t>분
당
구</t>
    <phoneticPr fontId="2" type="noConversion"/>
  </si>
  <si>
    <t>HD현대오일뱅크주유소</t>
    <phoneticPr fontId="2" type="noConversion"/>
  </si>
  <si>
    <t>금광1동행정복지센터</t>
    <phoneticPr fontId="2" type="noConversion"/>
  </si>
  <si>
    <t>금광로 33, 34번길</t>
    <phoneticPr fontId="2" type="noConversion"/>
  </si>
  <si>
    <t>중</t>
    <phoneticPr fontId="2" type="noConversion"/>
  </si>
  <si>
    <t>금빛그랑메종 204동 옆</t>
    <phoneticPr fontId="2" type="noConversion"/>
  </si>
  <si>
    <t>금빛그랑메종108동 뒤</t>
    <phoneticPr fontId="2" type="noConversion"/>
  </si>
  <si>
    <t xml:space="preserve">금광로 22번길 </t>
    <phoneticPr fontId="2" type="noConversion"/>
  </si>
  <si>
    <t>황송삼거리</t>
    <phoneticPr fontId="2" type="noConversion"/>
  </si>
  <si>
    <t>단남아파트</t>
    <phoneticPr fontId="2" type="noConversion"/>
  </si>
  <si>
    <t>금광로</t>
    <phoneticPr fontId="2" type="noConversion"/>
  </si>
  <si>
    <t>하늘채아파트 401동</t>
    <phoneticPr fontId="2" type="noConversion"/>
  </si>
  <si>
    <t>하늘채아파트 114동</t>
    <phoneticPr fontId="2" type="noConversion"/>
  </si>
  <si>
    <t>광명로 204번길</t>
    <phoneticPr fontId="2" type="noConversion"/>
  </si>
  <si>
    <t>도촌초등학교</t>
    <phoneticPr fontId="2" type="noConversion"/>
  </si>
  <si>
    <t>도촌종합사회복지관</t>
    <phoneticPr fontId="2" type="noConversion"/>
  </si>
  <si>
    <t>도촌천4교로</t>
    <phoneticPr fontId="2" type="noConversion"/>
  </si>
  <si>
    <t>섬마을휴먼시아307동</t>
    <phoneticPr fontId="2" type="noConversion"/>
  </si>
  <si>
    <t>도촌중학교</t>
    <phoneticPr fontId="2" type="noConversion"/>
  </si>
  <si>
    <t>도촌천3교로</t>
    <phoneticPr fontId="2" type="noConversion"/>
  </si>
  <si>
    <t>1.6~2.1</t>
    <phoneticPr fontId="2" type="noConversion"/>
  </si>
  <si>
    <t>은행동 2514</t>
    <phoneticPr fontId="2" type="noConversion"/>
  </si>
  <si>
    <t>은행동 1277</t>
    <phoneticPr fontId="2" type="noConversion"/>
  </si>
  <si>
    <t>은행로43번길</t>
    <phoneticPr fontId="2" type="noConversion"/>
  </si>
  <si>
    <t>경성빌라(은행동 1749-1)</t>
    <phoneticPr fontId="2" type="noConversion"/>
  </si>
  <si>
    <t>합동장식(인테리어)(은행동 1815-1)</t>
    <phoneticPr fontId="2" type="noConversion"/>
  </si>
  <si>
    <t>은행로18번길</t>
    <phoneticPr fontId="2" type="noConversion"/>
  </si>
  <si>
    <t>1.6~2.5</t>
    <phoneticPr fontId="2" type="noConversion"/>
  </si>
  <si>
    <t>성진하이츠빌라(은행동 779)</t>
    <phoneticPr fontId="2" type="noConversion"/>
  </si>
  <si>
    <t>조광빌라(은행동 1105)</t>
    <phoneticPr fontId="2" type="noConversion"/>
  </si>
  <si>
    <t>은이로35번길</t>
    <phoneticPr fontId="2" type="noConversion"/>
  </si>
  <si>
    <t xml:space="preserve"> 여수동 587(여수동 옥토교회)</t>
    <phoneticPr fontId="2" type="noConversion"/>
  </si>
  <si>
    <t>야탑119안전센터</t>
    <phoneticPr fontId="2" type="noConversion"/>
  </si>
  <si>
    <t>연꽃로</t>
    <phoneticPr fontId="2" type="noConversion"/>
  </si>
  <si>
    <t>여수동 591</t>
    <phoneticPr fontId="2" type="noConversion"/>
  </si>
  <si>
    <t>여수공원로6번길</t>
    <phoneticPr fontId="2" type="noConversion"/>
  </si>
  <si>
    <t>여수동 579(센트럴타운아파트 323동)</t>
    <phoneticPr fontId="2" type="noConversion"/>
  </si>
  <si>
    <t>여수공원로</t>
    <phoneticPr fontId="2" type="noConversion"/>
  </si>
  <si>
    <t>2.4~2.8</t>
    <phoneticPr fontId="2" type="noConversion"/>
  </si>
  <si>
    <t>2.4~3.0</t>
    <phoneticPr fontId="2" type="noConversion"/>
  </si>
  <si>
    <t>시티파크오피스텔</t>
    <phoneticPr fontId="2" type="noConversion"/>
  </si>
  <si>
    <t>신야탑푸르지오시티오피스텔</t>
    <phoneticPr fontId="2" type="noConversion"/>
  </si>
  <si>
    <t>양현로405번길</t>
    <phoneticPr fontId="2" type="noConversion"/>
  </si>
  <si>
    <t>하대원동 182-3</t>
    <phoneticPr fontId="2" type="noConversion"/>
  </si>
  <si>
    <t>중원구 창대교회</t>
    <phoneticPr fontId="2" type="noConversion"/>
  </si>
  <si>
    <t>시민로66번길</t>
    <phoneticPr fontId="2" type="noConversion"/>
  </si>
  <si>
    <t>LH전자베스트샵 야탑점</t>
    <phoneticPr fontId="2" type="noConversion"/>
  </si>
  <si>
    <t>수타손짬뽕고수</t>
    <phoneticPr fontId="2" type="noConversion"/>
  </si>
  <si>
    <t>성남대로997번길</t>
    <phoneticPr fontId="2" type="noConversion"/>
  </si>
  <si>
    <t>1.5~2.0</t>
    <phoneticPr fontId="2" type="noConversion"/>
  </si>
  <si>
    <t xml:space="preserve"> 성남동부새마을금고 본점</t>
    <phoneticPr fontId="2" type="noConversion"/>
  </si>
  <si>
    <t>은행동 1235(장엄사)</t>
    <phoneticPr fontId="2" type="noConversion"/>
  </si>
  <si>
    <t>산성대로516번길</t>
    <phoneticPr fontId="2" type="noConversion"/>
  </si>
  <si>
    <t>1.9~2</t>
    <phoneticPr fontId="2" type="noConversion"/>
  </si>
  <si>
    <t>2.3~2.5</t>
    <phoneticPr fontId="2" type="noConversion"/>
  </si>
  <si>
    <t>상원초등학교</t>
    <phoneticPr fontId="2" type="noConversion"/>
  </si>
  <si>
    <t>뚜레쥬르 남한산성역점</t>
    <phoneticPr fontId="2" type="noConversion"/>
  </si>
  <si>
    <t>산성대로476번길</t>
    <phoneticPr fontId="2" type="noConversion"/>
  </si>
  <si>
    <t>노루페인트 우명페인트(성남동 1638)</t>
    <phoneticPr fontId="2" type="noConversion"/>
  </si>
  <si>
    <t>성남동 4506</t>
    <phoneticPr fontId="2" type="noConversion"/>
  </si>
  <si>
    <t>산성대로58번길</t>
    <phoneticPr fontId="2" type="noConversion"/>
  </si>
  <si>
    <t>1.8~2.0</t>
    <phoneticPr fontId="2" type="noConversion"/>
  </si>
  <si>
    <t>성남시 장애인종합복지관</t>
    <phoneticPr fontId="2" type="noConversion"/>
  </si>
  <si>
    <t>비데이휘트니스</t>
    <phoneticPr fontId="2" type="noConversion"/>
  </si>
  <si>
    <t>사기막골로150번길</t>
    <phoneticPr fontId="2" type="noConversion"/>
  </si>
  <si>
    <t>2.5~3.5</t>
    <phoneticPr fontId="2" type="noConversion"/>
  </si>
  <si>
    <t>다른퀵서비스</t>
    <phoneticPr fontId="2" type="noConversion"/>
  </si>
  <si>
    <t>기업은행365 성남테크노점</t>
    <phoneticPr fontId="2" type="noConversion"/>
  </si>
  <si>
    <t>사기막골로122번길</t>
    <phoneticPr fontId="2" type="noConversion"/>
  </si>
  <si>
    <t>1.5~2.5</t>
    <phoneticPr fontId="2" type="noConversion"/>
  </si>
  <si>
    <t>0.9~2.0</t>
    <phoneticPr fontId="2" type="noConversion"/>
  </si>
  <si>
    <t>구형</t>
    <phoneticPr fontId="2" type="noConversion"/>
  </si>
  <si>
    <t>OCI중앙연구소</t>
    <phoneticPr fontId="2" type="noConversion"/>
  </si>
  <si>
    <t>생잎제약</t>
    <phoneticPr fontId="2" type="noConversion"/>
  </si>
  <si>
    <t>사기막골로62번길</t>
    <phoneticPr fontId="2" type="noConversion"/>
  </si>
  <si>
    <t>CJ씨푸드</t>
    <phoneticPr fontId="2" type="noConversion"/>
  </si>
  <si>
    <t>대원사거리</t>
    <phoneticPr fontId="2" type="noConversion"/>
  </si>
  <si>
    <t>둔촌대로388번길</t>
    <phoneticPr fontId="2" type="noConversion"/>
  </si>
  <si>
    <t>모란프라임타워</t>
    <phoneticPr fontId="2" type="noConversion"/>
  </si>
  <si>
    <t>성남동 4929(지평막걸리)</t>
    <phoneticPr fontId="2" type="noConversion"/>
  </si>
  <si>
    <t>둔촌대로80번길</t>
    <phoneticPr fontId="2" type="noConversion"/>
  </si>
  <si>
    <t>성남동 4883(GS25)</t>
    <phoneticPr fontId="2" type="noConversion"/>
  </si>
  <si>
    <t>둔촌대로64번길</t>
    <phoneticPr fontId="2" type="noConversion"/>
  </si>
  <si>
    <t>성남동 4423</t>
    <phoneticPr fontId="2" type="noConversion"/>
  </si>
  <si>
    <t>성남동 4454(축산, 가축)</t>
    <phoneticPr fontId="2" type="noConversion"/>
  </si>
  <si>
    <t>둔촌대로63번길</t>
    <phoneticPr fontId="2" type="noConversion"/>
  </si>
  <si>
    <t>파리바게트 성남도촌점</t>
    <phoneticPr fontId="2" type="noConversion"/>
  </si>
  <si>
    <t>좋은이웃요양병원(도촌동 576)</t>
    <phoneticPr fontId="2" type="noConversion"/>
  </si>
  <si>
    <t>도촌로8번길</t>
    <phoneticPr fontId="2" type="noConversion"/>
  </si>
  <si>
    <t>다솜마을아파트</t>
    <phoneticPr fontId="2" type="noConversion"/>
  </si>
  <si>
    <t>성남시다문화가족지원센터</t>
    <phoneticPr fontId="2" type="noConversion"/>
  </si>
  <si>
    <t>광명로395번길</t>
    <phoneticPr fontId="2" type="noConversion"/>
  </si>
  <si>
    <t>하대원동 147-4(CU)</t>
    <phoneticPr fontId="2" type="noConversion"/>
  </si>
  <si>
    <t>수진역사거리(수진역할인마트)</t>
    <phoneticPr fontId="2" type="noConversion"/>
  </si>
  <si>
    <t>원터로</t>
    <phoneticPr fontId="2" type="noConversion"/>
  </si>
  <si>
    <t>2~5</t>
    <phoneticPr fontId="2" type="noConversion"/>
  </si>
  <si>
    <t>상대원동 500-5</t>
    <phoneticPr fontId="2" type="noConversion"/>
  </si>
  <si>
    <t>대유위니아</t>
    <phoneticPr fontId="2" type="noConversion"/>
  </si>
  <si>
    <t>갈마치로203번길</t>
    <phoneticPr fontId="2" type="noConversion"/>
  </si>
  <si>
    <t>갈마치터널</t>
    <phoneticPr fontId="2" type="noConversion"/>
  </si>
  <si>
    <t>갈현동141</t>
    <phoneticPr fontId="2" type="noConversion"/>
  </si>
  <si>
    <t>순암로</t>
    <phoneticPr fontId="2" type="noConversion"/>
  </si>
  <si>
    <t>도촌동 614</t>
    <phoneticPr fontId="2" type="noConversion"/>
  </si>
  <si>
    <t>본죽 성남도촌점</t>
    <phoneticPr fontId="2" type="noConversion"/>
  </si>
  <si>
    <t>도촌로</t>
    <phoneticPr fontId="2" type="noConversion"/>
  </si>
  <si>
    <t>모리아전원교회</t>
    <phoneticPr fontId="2" type="noConversion"/>
  </si>
  <si>
    <t>여수촌1교</t>
    <phoneticPr fontId="2" type="noConversion"/>
  </si>
  <si>
    <t>도촌북로</t>
    <phoneticPr fontId="2" type="noConversion"/>
  </si>
  <si>
    <t>도촌동648(이왕이공원)</t>
    <phoneticPr fontId="2" type="noConversion"/>
  </si>
  <si>
    <t>여수천2교</t>
    <phoneticPr fontId="2" type="noConversion"/>
  </si>
  <si>
    <t>도촌남로</t>
    <phoneticPr fontId="2" type="noConversion"/>
  </si>
  <si>
    <t>GS25성남여수점</t>
    <phoneticPr fontId="2" type="noConversion"/>
  </si>
  <si>
    <t>웰팜코리아</t>
    <phoneticPr fontId="2" type="noConversion"/>
  </si>
  <si>
    <t>여수울로29번길</t>
    <phoneticPr fontId="2" type="noConversion"/>
  </si>
  <si>
    <t>센트럴치과의원</t>
    <phoneticPr fontId="2" type="noConversion"/>
  </si>
  <si>
    <t>지베</t>
    <phoneticPr fontId="2" type="noConversion"/>
  </si>
  <si>
    <t>여수울로15번길</t>
    <phoneticPr fontId="2" type="noConversion"/>
  </si>
  <si>
    <t>여수센트럴타운 에코비어린이집</t>
    <phoneticPr fontId="2" type="noConversion"/>
  </si>
  <si>
    <t>여수동 518-5</t>
    <phoneticPr fontId="2" type="noConversion"/>
  </si>
  <si>
    <t>여수울로</t>
    <phoneticPr fontId="2" type="noConversion"/>
  </si>
  <si>
    <t>도촌동 413-2</t>
    <phoneticPr fontId="2" type="noConversion"/>
  </si>
  <si>
    <t>우리은행 사거리</t>
    <phoneticPr fontId="2" type="noConversion"/>
  </si>
  <si>
    <t>공원로</t>
    <phoneticPr fontId="2" type="noConversion"/>
  </si>
  <si>
    <t>갈마터널입구</t>
    <phoneticPr fontId="2" type="noConversion"/>
  </si>
  <si>
    <t>성남IC교</t>
    <phoneticPr fontId="2" type="noConversion"/>
  </si>
  <si>
    <t>경충대로</t>
    <phoneticPr fontId="2" type="noConversion"/>
  </si>
  <si>
    <t>은행동 984(태평양약국)</t>
    <phoneticPr fontId="2" type="noConversion"/>
  </si>
  <si>
    <t>은행동 1169-1(상우빌라)</t>
    <phoneticPr fontId="2" type="noConversion"/>
  </si>
  <si>
    <t>은이로</t>
    <phoneticPr fontId="2" type="noConversion"/>
  </si>
  <si>
    <t>1.5~2.2</t>
    <phoneticPr fontId="2" type="noConversion"/>
  </si>
  <si>
    <t>1.5~2</t>
    <phoneticPr fontId="2" type="noConversion"/>
  </si>
  <si>
    <t>금강하이테크밸리1차</t>
    <phoneticPr fontId="2" type="noConversion"/>
  </si>
  <si>
    <t>성남중원경찰서어린이집</t>
    <phoneticPr fontId="2" type="noConversion"/>
  </si>
  <si>
    <t>금빛로2번길</t>
    <phoneticPr fontId="2" type="noConversion"/>
  </si>
  <si>
    <t>원뿔</t>
    <phoneticPr fontId="2" type="noConversion"/>
  </si>
  <si>
    <t>성남실내체육관</t>
    <phoneticPr fontId="2" type="noConversion"/>
  </si>
  <si>
    <t>성남동 3122(GS25)</t>
    <phoneticPr fontId="2" type="noConversion"/>
  </si>
  <si>
    <t>둔촌대로183번길</t>
    <phoneticPr fontId="2" type="noConversion"/>
  </si>
  <si>
    <t>중원교</t>
    <phoneticPr fontId="2" type="noConversion"/>
  </si>
  <si>
    <t>호텔 313에비뉴</t>
    <phoneticPr fontId="2" type="noConversion"/>
  </si>
  <si>
    <t>제일로</t>
    <phoneticPr fontId="2" type="noConversion"/>
  </si>
  <si>
    <t>선텍시티2</t>
    <phoneticPr fontId="2" type="noConversion"/>
  </si>
  <si>
    <t>상대원동500-5(동구전자)</t>
    <phoneticPr fontId="2" type="noConversion"/>
  </si>
  <si>
    <t>둔촌대로497번길</t>
    <phoneticPr fontId="2" type="noConversion"/>
  </si>
  <si>
    <t>1.8~2.6</t>
    <phoneticPr fontId="2" type="noConversion"/>
  </si>
  <si>
    <t>단대오거리역 2번출구</t>
    <phoneticPr fontId="2" type="noConversion"/>
  </si>
  <si>
    <t>희망로</t>
    <phoneticPr fontId="2" type="noConversion"/>
  </si>
  <si>
    <t>여수지하차도</t>
    <phoneticPr fontId="2" type="noConversion"/>
  </si>
  <si>
    <t>여수대교</t>
    <phoneticPr fontId="2" type="noConversion"/>
  </si>
  <si>
    <t>여수대로</t>
    <phoneticPr fontId="2" type="noConversion"/>
  </si>
  <si>
    <t>신흥사거리</t>
    <phoneticPr fontId="2" type="noConversion"/>
  </si>
  <si>
    <t>하대원동 135-5(밧데리 할인마트)</t>
    <phoneticPr fontId="2" type="noConversion"/>
  </si>
  <si>
    <t>시민로</t>
  </si>
  <si>
    <t>모란고가교</t>
    <phoneticPr fontId="2" type="noConversion"/>
  </si>
  <si>
    <t>야탑사거리</t>
    <phoneticPr fontId="2" type="noConversion"/>
  </si>
  <si>
    <t>반원</t>
    <phoneticPr fontId="2" type="noConversion"/>
  </si>
  <si>
    <t>상대원동 39-27</t>
    <phoneticPr fontId="2" type="noConversion"/>
  </si>
  <si>
    <t>상대원동 517-13</t>
    <phoneticPr fontId="2" type="noConversion"/>
  </si>
  <si>
    <t>사기막골로</t>
    <phoneticPr fontId="2" type="noConversion"/>
  </si>
  <si>
    <t>상대원동 307-12</t>
    <phoneticPr fontId="2" type="noConversion"/>
  </si>
  <si>
    <t>공단본부사거리</t>
    <phoneticPr fontId="2" type="noConversion"/>
  </si>
  <si>
    <t>둔촌대로457번길</t>
    <phoneticPr fontId="2" type="noConversion"/>
  </si>
  <si>
    <t>하대원동 100-3</t>
    <phoneticPr fontId="2" type="noConversion"/>
  </si>
  <si>
    <t>성남시 장례식장 주차장</t>
    <phoneticPr fontId="2" type="noConversion"/>
  </si>
  <si>
    <t>마지로</t>
    <phoneticPr fontId="2" type="noConversion"/>
  </si>
  <si>
    <t>화인매카트로닉스</t>
    <phoneticPr fontId="2" type="noConversion"/>
  </si>
  <si>
    <t>상대원동 67</t>
    <phoneticPr fontId="2" type="noConversion"/>
  </si>
  <si>
    <t>순환로198번길</t>
    <phoneticPr fontId="2" type="noConversion"/>
  </si>
  <si>
    <t>은행동590(오대오 바지락칼국수)</t>
    <phoneticPr fontId="2" type="noConversion"/>
  </si>
  <si>
    <t>갈현고가교</t>
    <phoneticPr fontId="2" type="noConversion"/>
  </si>
  <si>
    <t>순환로</t>
    <phoneticPr fontId="2" type="noConversion"/>
  </si>
  <si>
    <t>은행동 1943-3</t>
    <phoneticPr fontId="2" type="noConversion"/>
  </si>
  <si>
    <t>금광동 4636(빈번원두가게)</t>
    <phoneticPr fontId="2" type="noConversion"/>
  </si>
  <si>
    <t>자혜로</t>
    <phoneticPr fontId="2" type="noConversion"/>
  </si>
  <si>
    <t>은행동 2352</t>
    <phoneticPr fontId="2" type="noConversion"/>
  </si>
  <si>
    <t>중원경찰서앞교차로</t>
    <phoneticPr fontId="2" type="noConversion"/>
  </si>
  <si>
    <t>금빛로</t>
    <phoneticPr fontId="2" type="noConversion"/>
  </si>
  <si>
    <t>중원구 보건소</t>
    <phoneticPr fontId="2" type="noConversion"/>
  </si>
  <si>
    <t>상대원동 2999-27(롯데리아)</t>
    <phoneticPr fontId="2" type="noConversion"/>
  </si>
  <si>
    <t>금상로</t>
    <phoneticPr fontId="2" type="noConversion"/>
  </si>
  <si>
    <t>금광삼거리</t>
    <phoneticPr fontId="2" type="noConversion"/>
  </si>
  <si>
    <t>모란삼거리</t>
    <phoneticPr fontId="2" type="noConversion"/>
  </si>
  <si>
    <t>광명로</t>
    <phoneticPr fontId="2" type="noConversion"/>
  </si>
  <si>
    <t>1.6~4.5</t>
    <phoneticPr fontId="2" type="noConversion"/>
  </si>
  <si>
    <t>2.0~4.5</t>
    <phoneticPr fontId="2" type="noConversion"/>
  </si>
  <si>
    <t>상대원동 434-3</t>
    <phoneticPr fontId="2" type="noConversion"/>
  </si>
  <si>
    <t>성남동 1761</t>
    <phoneticPr fontId="2" type="noConversion"/>
  </si>
  <si>
    <t>둔촌대로</t>
    <phoneticPr fontId="2" type="noConversion"/>
  </si>
  <si>
    <t>1.4~3</t>
    <phoneticPr fontId="2" type="noConversion"/>
  </si>
  <si>
    <t>갈마치교</t>
    <phoneticPr fontId="2" type="noConversion"/>
  </si>
  <si>
    <t>갈마치로</t>
    <phoneticPr fontId="2" type="noConversion"/>
  </si>
  <si>
    <t>중
원
구</t>
    <phoneticPr fontId="2" type="noConversion"/>
  </si>
  <si>
    <t>금토동 687</t>
    <phoneticPr fontId="2" type="noConversion"/>
  </si>
  <si>
    <t>금토동 331-10</t>
    <phoneticPr fontId="2" type="noConversion"/>
  </si>
  <si>
    <t>금토로</t>
    <phoneticPr fontId="2" type="noConversion"/>
  </si>
  <si>
    <t>수</t>
    <phoneticPr fontId="2" type="noConversion"/>
  </si>
  <si>
    <t>시흥동 356</t>
    <phoneticPr fontId="2" type="noConversion"/>
  </si>
  <si>
    <t>창업로 57번길</t>
    <phoneticPr fontId="2" type="noConversion"/>
  </si>
  <si>
    <t>시흥동 282-19</t>
    <phoneticPr fontId="2" type="noConversion"/>
  </si>
  <si>
    <t>LH기업성장센터( 시흥동 294-2)</t>
    <phoneticPr fontId="2" type="noConversion"/>
  </si>
  <si>
    <t>창업로</t>
    <phoneticPr fontId="2" type="noConversion"/>
  </si>
  <si>
    <t>수</t>
  </si>
  <si>
    <t>룩씨안경(태평역점)</t>
    <phoneticPr fontId="2" type="noConversion"/>
  </si>
  <si>
    <t>초원리치빌(산성동 51)</t>
    <phoneticPr fontId="2" type="noConversion"/>
  </si>
  <si>
    <t>수정남로</t>
    <phoneticPr fontId="2" type="noConversion"/>
  </si>
  <si>
    <t>경기도립성남도서관</t>
    <phoneticPr fontId="2" type="noConversion"/>
  </si>
  <si>
    <t>두산아파트앞삼거리</t>
    <phoneticPr fontId="2" type="noConversion"/>
  </si>
  <si>
    <t>공원로370번길</t>
    <phoneticPr fontId="2" type="noConversion"/>
  </si>
  <si>
    <t>1.2~3</t>
    <phoneticPr fontId="2" type="noConversion"/>
  </si>
  <si>
    <t>3.5~5</t>
    <phoneticPr fontId="2" type="noConversion"/>
  </si>
  <si>
    <t>고등제일교회</t>
    <phoneticPr fontId="2" type="noConversion"/>
  </si>
  <si>
    <t>고등동 590</t>
    <phoneticPr fontId="2" type="noConversion"/>
  </si>
  <si>
    <t>고등공원로</t>
    <phoneticPr fontId="2" type="noConversion"/>
  </si>
  <si>
    <t>고등동 603</t>
    <phoneticPr fontId="2" type="noConversion"/>
  </si>
  <si>
    <t>고등동 581-3</t>
    <phoneticPr fontId="2" type="noConversion"/>
  </si>
  <si>
    <t>고등로</t>
    <phoneticPr fontId="2" type="noConversion"/>
  </si>
  <si>
    <t>창곡동 559-9</t>
    <phoneticPr fontId="2" type="noConversion"/>
  </si>
  <si>
    <t>우리생협 위례본점</t>
    <phoneticPr fontId="2" type="noConversion"/>
  </si>
  <si>
    <t>위례서일로</t>
    <phoneticPr fontId="2" type="noConversion"/>
  </si>
  <si>
    <t>위례우남역아이파크오피스텔</t>
    <phoneticPr fontId="2" type="noConversion"/>
  </si>
  <si>
    <t>기업은행 위례지점</t>
    <phoneticPr fontId="2" type="noConversion"/>
  </si>
  <si>
    <t>위례광장로</t>
    <phoneticPr fontId="2" type="noConversion"/>
  </si>
  <si>
    <t>창곡동 572(힐스테이트 위례 5702)</t>
    <phoneticPr fontId="2" type="noConversion"/>
  </si>
  <si>
    <t>위례광장로153(에이플타워)</t>
    <phoneticPr fontId="2" type="noConversion"/>
  </si>
  <si>
    <t>위례동로</t>
    <phoneticPr fontId="2" type="noConversion"/>
  </si>
  <si>
    <t>3.2~6.5</t>
    <phoneticPr fontId="2" type="noConversion"/>
  </si>
  <si>
    <t>3.2~4.5</t>
    <phoneticPr fontId="2" type="noConversion"/>
  </si>
  <si>
    <t>창곡교차로</t>
    <phoneticPr fontId="2" type="noConversion"/>
  </si>
  <si>
    <t>창곡동 510</t>
    <phoneticPr fontId="2" type="noConversion"/>
  </si>
  <si>
    <t>위례대로</t>
    <phoneticPr fontId="2" type="noConversion"/>
  </si>
  <si>
    <t>4~5</t>
    <phoneticPr fontId="2" type="noConversion"/>
  </si>
  <si>
    <t>4~5.7</t>
    <phoneticPr fontId="2" type="noConversion"/>
  </si>
  <si>
    <t>창곡동 504</t>
    <phoneticPr fontId="2" type="noConversion"/>
  </si>
  <si>
    <t>위례서일로2(올스타마트)</t>
    <phoneticPr fontId="2" type="noConversion"/>
  </si>
  <si>
    <t>위례서로</t>
    <phoneticPr fontId="2" type="noConversion"/>
  </si>
  <si>
    <t>위례중앙로216</t>
    <phoneticPr fontId="2" type="noConversion"/>
  </si>
  <si>
    <t>창곡동 46-14(위례31단지 3111동)</t>
    <phoneticPr fontId="2" type="noConversion"/>
  </si>
  <si>
    <t>위례순환로</t>
    <phoneticPr fontId="2" type="noConversion"/>
  </si>
  <si>
    <t>1.5~2.3</t>
    <phoneticPr fontId="2" type="noConversion"/>
  </si>
  <si>
    <t>상적동 212-6</t>
    <phoneticPr fontId="2" type="noConversion"/>
  </si>
  <si>
    <t>금토동삼거리</t>
    <phoneticPr fontId="2" type="noConversion"/>
  </si>
  <si>
    <t>달래내로</t>
    <phoneticPr fontId="2" type="noConversion"/>
  </si>
  <si>
    <t>1.2~2</t>
    <phoneticPr fontId="2" type="noConversion"/>
  </si>
  <si>
    <t>단대동 71-8</t>
    <phoneticPr fontId="2" type="noConversion"/>
  </si>
  <si>
    <t>염광교회</t>
    <phoneticPr fontId="2" type="noConversion"/>
  </si>
  <si>
    <t>단대로16번길</t>
    <phoneticPr fontId="2" type="noConversion"/>
  </si>
  <si>
    <t>분당세무서
단대동 190-8</t>
    <phoneticPr fontId="2" type="noConversion"/>
  </si>
  <si>
    <t>단대동 165-3(굿모닝마트)
단대동 187-3(낙원맨션)</t>
    <phoneticPr fontId="2" type="noConversion"/>
  </si>
  <si>
    <t>0.2
0.3</t>
    <phoneticPr fontId="2" type="noConversion"/>
  </si>
  <si>
    <t>희망로482번길
,희망로506번길</t>
    <phoneticPr fontId="2" type="noConversion"/>
  </si>
  <si>
    <t>단대동 98-1(점핑하이)</t>
    <phoneticPr fontId="2" type="noConversion"/>
  </si>
  <si>
    <t>단대동 157-5</t>
    <phoneticPr fontId="2" type="noConversion"/>
  </si>
  <si>
    <t>산성대로413,419,429번길</t>
    <phoneticPr fontId="2" type="noConversion"/>
  </si>
  <si>
    <t>단대공원</t>
    <phoneticPr fontId="2" type="noConversion"/>
  </si>
  <si>
    <t>단대동 99-6(몽빼로과자점)</t>
    <phoneticPr fontId="2" type="noConversion"/>
  </si>
  <si>
    <t>산성대로437번길</t>
    <phoneticPr fontId="2" type="noConversion"/>
  </si>
  <si>
    <t>지브릭커피</t>
    <phoneticPr fontId="2" type="noConversion"/>
  </si>
  <si>
    <t>단대동 165-3(굿모닝마트)</t>
    <phoneticPr fontId="2" type="noConversion"/>
  </si>
  <si>
    <t>산성대로405번길</t>
    <phoneticPr fontId="2" type="noConversion"/>
  </si>
  <si>
    <t>단대초등학교</t>
    <phoneticPr fontId="2" type="noConversion"/>
  </si>
  <si>
    <t>단대동 행정복지센터</t>
    <phoneticPr fontId="2" type="noConversion"/>
  </si>
  <si>
    <t>단대로23번길</t>
    <phoneticPr fontId="2" type="noConversion"/>
  </si>
  <si>
    <t>단대동 82-7(gs25)</t>
    <phoneticPr fontId="2" type="noConversion"/>
  </si>
  <si>
    <t>단대파출소</t>
    <phoneticPr fontId="2" type="noConversion"/>
  </si>
  <si>
    <t>단대로15번길</t>
    <phoneticPr fontId="2" type="noConversion"/>
  </si>
  <si>
    <t>단대동 150(오케이 공탁대부)</t>
    <phoneticPr fontId="2" type="noConversion"/>
  </si>
  <si>
    <t>단대동 99-2(성남단대푸르지오2단지아파트)</t>
    <phoneticPr fontId="2" type="noConversion"/>
  </si>
  <si>
    <t>단대로5번길</t>
    <phoneticPr fontId="2" type="noConversion"/>
  </si>
  <si>
    <t>복정동 711-4</t>
    <phoneticPr fontId="2" type="noConversion"/>
  </si>
  <si>
    <t>복정동 700-5</t>
    <phoneticPr fontId="2" type="noConversion"/>
  </si>
  <si>
    <t>성남대로1390번길</t>
    <phoneticPr fontId="2" type="noConversion"/>
  </si>
  <si>
    <t>복정동 693(SK에너지 셀프주유소)</t>
    <phoneticPr fontId="2" type="noConversion"/>
  </si>
  <si>
    <t>복정동 692-8(복정하이빌)</t>
    <phoneticPr fontId="2" type="noConversion"/>
  </si>
  <si>
    <t>성남대로1416번길</t>
    <phoneticPr fontId="2" type="noConversion"/>
  </si>
  <si>
    <t>1.8~2.5</t>
    <phoneticPr fontId="2" type="noConversion"/>
  </si>
  <si>
    <t>복정동 666(수정중앙노인종합복지관)</t>
    <phoneticPr fontId="2" type="noConversion"/>
  </si>
  <si>
    <t>복정동 662-1(s-oil)</t>
    <phoneticPr fontId="2" type="noConversion"/>
  </si>
  <si>
    <t>성남대로1480번길</t>
    <phoneticPr fontId="2" type="noConversion"/>
  </si>
  <si>
    <t>복정동 643-4(명일만두 복정점)</t>
    <phoneticPr fontId="2" type="noConversion"/>
  </si>
  <si>
    <t>복정동 646-6</t>
    <phoneticPr fontId="2" type="noConversion"/>
  </si>
  <si>
    <t>성남대로1518번길</t>
    <phoneticPr fontId="2" type="noConversion"/>
  </si>
  <si>
    <t>복정동 642(MEATBOX 복정점)</t>
    <phoneticPr fontId="2" type="noConversion"/>
  </si>
  <si>
    <t>복정동 631-6(황토골 사철탕)</t>
    <phoneticPr fontId="2" type="noConversion"/>
  </si>
  <si>
    <t>성남대로1542번길</t>
    <phoneticPr fontId="2" type="noConversion"/>
  </si>
  <si>
    <t>복정동 639(한스 부동산)</t>
    <phoneticPr fontId="2" type="noConversion"/>
  </si>
  <si>
    <t>복정동 715-6(수진어린이집)</t>
    <phoneticPr fontId="2" type="noConversion"/>
  </si>
  <si>
    <t>복정로</t>
    <phoneticPr fontId="2" type="noConversion"/>
  </si>
  <si>
    <t>상적동 212-5</t>
    <phoneticPr fontId="2" type="noConversion"/>
  </si>
  <si>
    <t>타이어뱅크 서울공항점</t>
    <phoneticPr fontId="2" type="noConversion"/>
  </si>
  <si>
    <t>청계산로</t>
    <phoneticPr fontId="2" type="noConversion"/>
  </si>
  <si>
    <t>심곡동 396-60</t>
    <phoneticPr fontId="2" type="noConversion"/>
  </si>
  <si>
    <t>서울공항정문사거리</t>
    <phoneticPr fontId="2" type="noConversion"/>
  </si>
  <si>
    <t>심곡로</t>
    <phoneticPr fontId="2" type="noConversion"/>
  </si>
  <si>
    <t>사송동 515</t>
    <phoneticPr fontId="2" type="noConversion"/>
  </si>
  <si>
    <t>탄천로입구교차로</t>
    <phoneticPr fontId="2" type="noConversion"/>
  </si>
  <si>
    <t>사송로</t>
    <phoneticPr fontId="2" type="noConversion"/>
  </si>
  <si>
    <t>2.5~6</t>
    <phoneticPr fontId="2" type="noConversion"/>
  </si>
  <si>
    <t>수자원공사진입교차로</t>
    <phoneticPr fontId="2" type="noConversion"/>
  </si>
  <si>
    <t>야탑동 403</t>
    <phoneticPr fontId="2" type="noConversion"/>
  </si>
  <si>
    <t>복정동 677-8</t>
    <phoneticPr fontId="2" type="noConversion"/>
  </si>
  <si>
    <t>양지동 985-3</t>
    <phoneticPr fontId="2" type="noConversion"/>
  </si>
  <si>
    <t>단대동 6985-39</t>
    <phoneticPr fontId="2" type="noConversion"/>
  </si>
  <si>
    <t>수정로466번길</t>
    <phoneticPr fontId="2" type="noConversion"/>
  </si>
  <si>
    <t>신흥동43(주차장)</t>
    <phoneticPr fontId="2" type="noConversion"/>
  </si>
  <si>
    <t>신흥동성당</t>
    <phoneticPr fontId="2" type="noConversion"/>
  </si>
  <si>
    <t>공원로436번길</t>
    <phoneticPr fontId="2" type="noConversion"/>
  </si>
  <si>
    <t>3.5~4.5</t>
    <phoneticPr fontId="2" type="noConversion"/>
  </si>
  <si>
    <t>태평동 3311(대광빌딩)</t>
    <phoneticPr fontId="2" type="noConversion"/>
  </si>
  <si>
    <t>하나은행(성남중앙지점)</t>
    <phoneticPr fontId="2" type="noConversion"/>
  </si>
  <si>
    <t>수정로171번길</t>
    <phoneticPr fontId="2" type="noConversion"/>
  </si>
  <si>
    <t>논골종로약국</t>
    <phoneticPr fontId="2" type="noConversion"/>
  </si>
  <si>
    <t>단대동 6-3(풍산쉐르빌)</t>
    <phoneticPr fontId="2" type="noConversion"/>
  </si>
  <si>
    <t>논골로</t>
    <phoneticPr fontId="2" type="noConversion"/>
  </si>
  <si>
    <t>태평동 27</t>
    <phoneticPr fontId="2" type="noConversion"/>
  </si>
  <si>
    <t>성남병원앞 삼거리</t>
    <phoneticPr fontId="2" type="noConversion"/>
  </si>
  <si>
    <t>태평로</t>
    <phoneticPr fontId="2" type="noConversion"/>
  </si>
  <si>
    <t>신흥성당앞사거리</t>
    <phoneticPr fontId="2" type="noConversion"/>
  </si>
  <si>
    <t>아이리라어린이집</t>
    <phoneticPr fontId="2" type="noConversion"/>
  </si>
  <si>
    <t>남문로</t>
    <phoneticPr fontId="2" type="noConversion"/>
  </si>
  <si>
    <t>태평로116</t>
    <phoneticPr fontId="2" type="noConversion"/>
  </si>
  <si>
    <t>시민로</t>
    <phoneticPr fontId="2" type="noConversion"/>
  </si>
  <si>
    <t>여수대교앞사거리</t>
    <phoneticPr fontId="2" type="noConversion"/>
  </si>
  <si>
    <t>시흥사거리</t>
    <phoneticPr fontId="2" type="noConversion"/>
  </si>
  <si>
    <t>신흥동 125(삼성빌딩)</t>
    <phoneticPr fontId="2" type="noConversion"/>
  </si>
  <si>
    <t>단대오거리역 6번출구</t>
    <phoneticPr fontId="2" type="noConversion"/>
  </si>
  <si>
    <t>창곡동 499-320</t>
    <phoneticPr fontId="2" type="noConversion"/>
  </si>
  <si>
    <t>산성역사거리</t>
    <phoneticPr fontId="2" type="noConversion"/>
  </si>
  <si>
    <t>헌릉로</t>
    <phoneticPr fontId="2" type="noConversion"/>
  </si>
  <si>
    <t>수진동 2679-20</t>
    <phoneticPr fontId="2" type="noConversion"/>
  </si>
  <si>
    <t>태평동 5104</t>
    <phoneticPr fontId="2" type="noConversion"/>
  </si>
  <si>
    <t>수진역 사거리</t>
    <phoneticPr fontId="2" type="noConversion"/>
  </si>
  <si>
    <t>태평동 648</t>
    <phoneticPr fontId="2" type="noConversion"/>
  </si>
  <si>
    <t>탄리로</t>
    <phoneticPr fontId="2" type="noConversion"/>
  </si>
  <si>
    <t>2~5.5</t>
    <phoneticPr fontId="2" type="noConversion"/>
  </si>
  <si>
    <t>우리은행 성남금융센터</t>
    <phoneticPr fontId="2" type="noConversion"/>
  </si>
  <si>
    <t>세곡3교(세곡동사거리)</t>
    <phoneticPr fontId="2" type="noConversion"/>
  </si>
  <si>
    <t>수진동 4731</t>
    <phoneticPr fontId="2" type="noConversion"/>
  </si>
  <si>
    <t>산성육교</t>
    <phoneticPr fontId="2" type="noConversion"/>
  </si>
  <si>
    <t>산성대로</t>
    <phoneticPr fontId="2" type="noConversion"/>
  </si>
  <si>
    <t>4~7</t>
    <phoneticPr fontId="2" type="noConversion"/>
  </si>
  <si>
    <t>관목군식형</t>
    <phoneticPr fontId="2" type="noConversion"/>
  </si>
  <si>
    <t>복정교</t>
    <phoneticPr fontId="2" type="noConversion"/>
  </si>
  <si>
    <t>1.5~5</t>
    <phoneticPr fontId="2" type="noConversion"/>
  </si>
  <si>
    <t>양지동 3(GS칼텍스)</t>
    <phoneticPr fontId="2" type="noConversion"/>
  </si>
  <si>
    <t>삼정그린뷰아파트101동</t>
    <phoneticPr fontId="2" type="noConversion"/>
  </si>
  <si>
    <t>수정로</t>
    <phoneticPr fontId="2" type="noConversion"/>
  </si>
  <si>
    <t>수
정
구</t>
    <phoneticPr fontId="2" type="noConversion"/>
  </si>
  <si>
    <t>합 계</t>
    <phoneticPr fontId="2" type="noConversion"/>
  </si>
  <si>
    <t>성남시</t>
    <phoneticPr fontId="2" type="noConversion"/>
  </si>
  <si>
    <t>배롱나무</t>
    <phoneticPr fontId="2" type="noConversion"/>
  </si>
  <si>
    <t>계수나무</t>
    <phoneticPr fontId="2" type="noConversion"/>
  </si>
  <si>
    <t>우측</t>
    <phoneticPr fontId="2" type="noConversion"/>
  </si>
  <si>
    <t>좌측</t>
    <phoneticPr fontId="2" type="noConversion"/>
  </si>
  <si>
    <t>은행나무관리</t>
    <phoneticPr fontId="2" type="noConversion"/>
  </si>
  <si>
    <t>띠녹지 유형</t>
    <phoneticPr fontId="2" type="noConversion"/>
  </si>
  <si>
    <t>다층식재/띠녹지</t>
    <phoneticPr fontId="2" type="noConversion"/>
  </si>
  <si>
    <t>메워심기</t>
    <phoneticPr fontId="2" type="noConversion"/>
  </si>
  <si>
    <t>바꿔심기</t>
    <phoneticPr fontId="2" type="noConversion"/>
  </si>
  <si>
    <t>하부정비</t>
    <phoneticPr fontId="2" type="noConversion"/>
  </si>
  <si>
    <t>밀도조절 연장</t>
    <phoneticPr fontId="2" type="noConversion"/>
  </si>
  <si>
    <t>밀도조절 대상</t>
    <phoneticPr fontId="2" type="noConversion"/>
  </si>
  <si>
    <t>밀도조절</t>
    <phoneticPr fontId="2" type="noConversion"/>
  </si>
  <si>
    <t>테마전정 수형</t>
    <phoneticPr fontId="2" type="noConversion"/>
  </si>
  <si>
    <t>테마전정</t>
    <phoneticPr fontId="2" type="noConversion"/>
  </si>
  <si>
    <t>합계</t>
  </si>
  <si>
    <t>보도폭</t>
    <phoneticPr fontId="2" type="noConversion"/>
  </si>
  <si>
    <t>가로수 정비계획</t>
    <phoneticPr fontId="2" type="noConversion"/>
  </si>
  <si>
    <t>종점</t>
    <phoneticPr fontId="2" type="noConversion"/>
  </si>
  <si>
    <t>시점</t>
    <phoneticPr fontId="2" type="noConversion"/>
  </si>
  <si>
    <t>가로유형</t>
    <phoneticPr fontId="2" type="noConversion"/>
  </si>
  <si>
    <t>연장</t>
    <phoneticPr fontId="2" type="noConversion"/>
  </si>
  <si>
    <t>노 선 명</t>
  </si>
  <si>
    <t>연번</t>
    <phoneticPr fontId="2" type="noConversion"/>
  </si>
  <si>
    <t>구분</t>
    <phoneticPr fontId="2" type="noConversion"/>
  </si>
  <si>
    <t>성남시 가로수 현황</t>
    <phoneticPr fontId="2" type="noConversion"/>
  </si>
  <si>
    <t>기준: 2026. 1. 1. (녹지과 729-4284)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</si>
</sst>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);[Red]\(#,##0\)"/>
    <numFmt numFmtId="177" formatCode="#,##0.0_);[Red]\(#,##0.0\)"/>
    <numFmt numFmtId="178" formatCode="0.0_);[Red]\(0.0\)"/>
    <numFmt numFmtId="179" formatCode="0.0%"/>
    <numFmt numFmtId="180" formatCode="0_);[Red]\(0\)"/>
    <numFmt numFmtId="181" formatCode="#,##0.00_);[Red]\(#,##0.00\)"/>
    <numFmt numFmtId="182" formatCode="#,##0.000_);[Red]\(#,##0.00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176" fontId="1" fillId="0" borderId="5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5" xfId="0" applyNumberFormat="1" applyFont="1" applyBorder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center" shrinkToFit="1"/>
    </xf>
    <xf numFmtId="178" fontId="4" fillId="0" borderId="5" xfId="0" applyNumberFormat="1" applyFont="1" applyBorder="1" applyAlignment="1">
      <alignment horizontal="center" vertical="center" shrinkToFit="1"/>
    </xf>
    <xf numFmtId="178" fontId="4" fillId="0" borderId="5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/>
    </xf>
    <xf numFmtId="178" fontId="7" fillId="0" borderId="5" xfId="0" applyNumberFormat="1" applyFont="1" applyBorder="1" applyAlignment="1">
      <alignment horizontal="center" vertical="center" shrinkToFit="1"/>
    </xf>
    <xf numFmtId="178" fontId="4" fillId="0" borderId="5" xfId="0" quotePrefix="1" applyNumberFormat="1" applyFont="1" applyBorder="1" applyAlignment="1">
      <alignment horizontal="center" vertical="center" shrinkToFit="1"/>
    </xf>
    <xf numFmtId="177" fontId="4" fillId="0" borderId="5" xfId="0" quotePrefix="1" applyNumberFormat="1" applyFont="1" applyBorder="1" applyAlignment="1">
      <alignment horizontal="center" vertical="center" shrinkToFit="1"/>
    </xf>
    <xf numFmtId="176" fontId="5" fillId="0" borderId="0" xfId="0" applyNumberFormat="1" applyFont="1">
      <alignment vertical="center"/>
    </xf>
    <xf numFmtId="179" fontId="5" fillId="0" borderId="0" xfId="0" applyNumberFormat="1" applyFont="1" applyAlignment="1">
      <alignment horizontal="center" vertical="center"/>
    </xf>
    <xf numFmtId="176" fontId="3" fillId="3" borderId="5" xfId="0" applyNumberFormat="1" applyFont="1" applyFill="1" applyBorder="1" applyAlignment="1">
      <alignment horizontal="center" vertical="center" wrapText="1"/>
    </xf>
    <xf numFmtId="177" fontId="3" fillId="3" borderId="5" xfId="0" applyNumberFormat="1" applyFont="1" applyFill="1" applyBorder="1" applyAlignment="1">
      <alignment horizontal="center" vertical="center" wrapText="1"/>
    </xf>
    <xf numFmtId="180" fontId="3" fillId="3" borderId="5" xfId="0" applyNumberFormat="1" applyFont="1" applyFill="1" applyBorder="1" applyAlignment="1">
      <alignment horizontal="center" vertical="center" wrapText="1"/>
    </xf>
    <xf numFmtId="178" fontId="3" fillId="3" borderId="5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176" fontId="1" fillId="0" borderId="12" xfId="0" applyNumberFormat="1" applyFont="1" applyBorder="1" applyAlignment="1">
      <alignment horizontal="center" vertical="center" wrapText="1"/>
    </xf>
    <xf numFmtId="176" fontId="1" fillId="0" borderId="11" xfId="0" applyNumberFormat="1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181" fontId="4" fillId="0" borderId="5" xfId="0" applyNumberFormat="1" applyFont="1" applyBorder="1" applyAlignment="1">
      <alignment horizontal="center" vertical="center" wrapText="1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81" fontId="3" fillId="3" borderId="5" xfId="0" applyNumberFormat="1" applyFont="1" applyFill="1" applyBorder="1" applyAlignment="1">
      <alignment horizontal="center" vertical="center" wrapText="1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176" fontId="1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 wrapText="1"/>
    </xf>
    <xf numFmtId="176" fontId="3" fillId="4" borderId="5" xfId="0" applyNumberFormat="1" applyFont="1" applyFill="1" applyBorder="1" applyAlignment="1">
      <alignment horizontal="center" vertical="center" wrapText="1"/>
    </xf>
    <xf numFmtId="176" fontId="4" fillId="4" borderId="5" xfId="0" applyNumberFormat="1" applyFont="1" applyFill="1" applyBorder="1" applyAlignment="1">
      <alignment horizontal="center" vertical="center" shrinkToFit="1"/>
    </xf>
    <xf numFmtId="177" fontId="4" fillId="4" borderId="5" xfId="0" applyNumberFormat="1" applyFont="1" applyFill="1" applyBorder="1" applyAlignment="1">
      <alignment horizontal="center" vertical="center" shrinkToFit="1"/>
    </xf>
    <xf numFmtId="177" fontId="4" fillId="4" borderId="4" xfId="0" applyNumberFormat="1" applyFont="1" applyFill="1" applyBorder="1" applyAlignment="1">
      <alignment horizontal="center" vertical="center" shrinkToFit="1"/>
    </xf>
    <xf numFmtId="177" fontId="4" fillId="4" borderId="5" xfId="0" applyNumberFormat="1" applyFont="1" applyFill="1" applyBorder="1" applyAlignment="1">
      <alignment horizontal="center" vertical="center" wrapText="1"/>
    </xf>
    <xf numFmtId="176" fontId="1" fillId="4" borderId="4" xfId="0" applyNumberFormat="1" applyFont="1" applyFill="1" applyBorder="1" applyAlignment="1">
      <alignment horizontal="center" vertical="center" wrapText="1"/>
    </xf>
    <xf numFmtId="176" fontId="1" fillId="4" borderId="1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181" fontId="4" fillId="4" borderId="5" xfId="0" applyNumberFormat="1" applyFont="1" applyFill="1" applyBorder="1" applyAlignment="1">
      <alignment horizontal="center" vertical="center" wrapText="1"/>
    </xf>
    <xf numFmtId="176" fontId="7" fillId="4" borderId="5" xfId="0" applyNumberFormat="1" applyFont="1" applyFill="1" applyBorder="1" applyAlignment="1">
      <alignment horizontal="center" vertical="center" shrinkToFit="1"/>
    </xf>
    <xf numFmtId="177" fontId="7" fillId="4" borderId="5" xfId="0" applyNumberFormat="1" applyFont="1" applyFill="1" applyBorder="1" applyAlignment="1">
      <alignment horizontal="center" vertical="center" shrinkToFit="1"/>
    </xf>
    <xf numFmtId="177" fontId="7" fillId="4" borderId="4" xfId="0" applyNumberFormat="1" applyFont="1" applyFill="1" applyBorder="1" applyAlignment="1">
      <alignment horizontal="center" vertical="center" shrinkToFit="1"/>
    </xf>
    <xf numFmtId="177" fontId="7" fillId="4" borderId="5" xfId="0" applyNumberFormat="1" applyFont="1" applyFill="1" applyBorder="1" applyAlignment="1">
      <alignment horizontal="center" vertical="center" wrapText="1"/>
    </xf>
    <xf numFmtId="176" fontId="7" fillId="4" borderId="5" xfId="0" applyNumberFormat="1" applyFont="1" applyFill="1" applyBorder="1" applyAlignment="1">
      <alignment horizontal="center" vertical="center" wrapText="1"/>
    </xf>
    <xf numFmtId="176" fontId="9" fillId="4" borderId="4" xfId="0" applyNumberFormat="1" applyFont="1" applyFill="1" applyBorder="1" applyAlignment="1">
      <alignment horizontal="center" vertical="center" wrapText="1"/>
    </xf>
    <xf numFmtId="176" fontId="9" fillId="4" borderId="12" xfId="0" applyNumberFormat="1" applyFont="1" applyFill="1" applyBorder="1" applyAlignment="1">
      <alignment horizontal="center" vertical="center" wrapText="1"/>
    </xf>
    <xf numFmtId="176" fontId="4" fillId="4" borderId="5" xfId="0" applyNumberFormat="1" applyFont="1" applyFill="1" applyBorder="1" applyAlignment="1">
      <alignment horizontal="center" vertical="center"/>
    </xf>
    <xf numFmtId="177" fontId="4" fillId="4" borderId="4" xfId="0" applyNumberFormat="1" applyFont="1" applyFill="1" applyBorder="1" applyAlignment="1">
      <alignment horizontal="center" vertical="center" wrapText="1"/>
    </xf>
    <xf numFmtId="177" fontId="4" fillId="4" borderId="4" xfId="0" applyNumberFormat="1" applyFont="1" applyFill="1" applyBorder="1" applyAlignment="1">
      <alignment horizontal="center" vertical="center" wrapText="1" shrinkToFit="1"/>
    </xf>
    <xf numFmtId="177" fontId="4" fillId="4" borderId="5" xfId="0" applyNumberFormat="1" applyFont="1" applyFill="1" applyBorder="1" applyAlignment="1">
      <alignment horizontal="center" vertical="center" wrapText="1" shrinkToFit="1"/>
    </xf>
    <xf numFmtId="176" fontId="1" fillId="4" borderId="6" xfId="0" applyNumberFormat="1" applyFont="1" applyFill="1" applyBorder="1" applyAlignment="1">
      <alignment horizontal="center" vertical="center"/>
    </xf>
    <xf numFmtId="177" fontId="4" fillId="4" borderId="5" xfId="0" quotePrefix="1" applyNumberFormat="1" applyFont="1" applyFill="1" applyBorder="1" applyAlignment="1">
      <alignment horizontal="center" vertical="center" shrinkToFit="1"/>
    </xf>
    <xf numFmtId="177" fontId="7" fillId="4" borderId="4" xfId="0" quotePrefix="1" applyNumberFormat="1" applyFont="1" applyFill="1" applyBorder="1" applyAlignment="1">
      <alignment horizontal="center" vertical="center" shrinkToFit="1"/>
    </xf>
    <xf numFmtId="177" fontId="7" fillId="4" borderId="5" xfId="0" quotePrefix="1" applyNumberFormat="1" applyFont="1" applyFill="1" applyBorder="1" applyAlignment="1">
      <alignment horizontal="center" vertical="center" shrinkToFit="1"/>
    </xf>
    <xf numFmtId="177" fontId="4" fillId="4" borderId="4" xfId="0" quotePrefix="1" applyNumberFormat="1" applyFont="1" applyFill="1" applyBorder="1" applyAlignment="1">
      <alignment horizontal="center" vertical="center" shrinkToFit="1"/>
    </xf>
    <xf numFmtId="176" fontId="4" fillId="4" borderId="4" xfId="0" applyNumberFormat="1" applyFont="1" applyFill="1" applyBorder="1" applyAlignment="1">
      <alignment horizontal="center" vertical="center" wrapText="1"/>
    </xf>
    <xf numFmtId="178" fontId="4" fillId="4" borderId="5" xfId="0" applyNumberFormat="1" applyFont="1" applyFill="1" applyBorder="1" applyAlignment="1">
      <alignment horizontal="center" vertical="center" shrinkToFit="1"/>
    </xf>
    <xf numFmtId="179" fontId="1" fillId="0" borderId="0" xfId="0" applyNumberFormat="1" applyFont="1" applyAlignment="1">
      <alignment horizontal="center"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7" xfId="0" applyNumberFormat="1" applyFont="1" applyFill="1" applyBorder="1" applyAlignment="1">
      <alignment horizontal="center" vertical="center" wrapText="1"/>
    </xf>
    <xf numFmtId="182" fontId="3" fillId="2" borderId="5" xfId="0" applyNumberFormat="1" applyFont="1" applyFill="1" applyBorder="1" applyAlignment="1">
      <alignment horizontal="center" vertical="center" wrapText="1"/>
    </xf>
    <xf numFmtId="181" fontId="3" fillId="2" borderId="5" xfId="0" applyNumberFormat="1" applyFont="1" applyFill="1" applyBorder="1" applyAlignment="1">
      <alignment horizontal="center" vertical="center" wrapText="1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5" borderId="5" xfId="0" applyNumberFormat="1" applyFont="1" applyFill="1" applyBorder="1" applyAlignment="1">
      <alignment horizontal="center" vertical="center" shrinkToFit="1"/>
    </xf>
    <xf numFmtId="176" fontId="1" fillId="0" borderId="21" xfId="0" applyNumberFormat="1" applyFont="1" applyBorder="1" applyAlignment="1">
      <alignment horizontal="center" vertical="center"/>
    </xf>
    <xf numFmtId="176" fontId="10" fillId="0" borderId="21" xfId="0" applyNumberFormat="1" applyFont="1" applyBorder="1" applyAlignment="1">
      <alignment horizontal="center" vertical="center"/>
    </xf>
    <xf numFmtId="176" fontId="10" fillId="0" borderId="21" xfId="0" applyNumberFormat="1" applyFont="1" applyBorder="1">
      <alignment vertical="center"/>
    </xf>
    <xf numFmtId="176" fontId="1" fillId="0" borderId="21" xfId="0" applyNumberFormat="1" applyFont="1" applyBorder="1">
      <alignment vertical="center"/>
    </xf>
    <xf numFmtId="176" fontId="3" fillId="2" borderId="9" xfId="0" applyNumberFormat="1" applyFont="1" applyFill="1" applyBorder="1" applyAlignment="1">
      <alignment horizontal="center" vertical="center" wrapText="1"/>
    </xf>
    <xf numFmtId="176" fontId="3" fillId="2" borderId="5" xfId="0" applyNumberFormat="1" applyFont="1" applyFill="1" applyBorder="1" applyAlignment="1">
      <alignment horizontal="center" vertical="center" wrapText="1"/>
    </xf>
    <xf numFmtId="176" fontId="11" fillId="0" borderId="0" xfId="0" applyNumberFormat="1" applyFont="1" applyAlignment="1">
      <alignment horizontal="center" vertical="center"/>
    </xf>
    <xf numFmtId="176" fontId="1" fillId="0" borderId="15" xfId="0" applyNumberFormat="1" applyFont="1" applyBorder="1" applyAlignment="1">
      <alignment horizontal="center" vertical="center" wrapText="1"/>
    </xf>
    <xf numFmtId="176" fontId="1" fillId="0" borderId="14" xfId="0" applyNumberFormat="1" applyFont="1" applyBorder="1" applyAlignment="1">
      <alignment horizontal="center" vertical="center" wrapText="1"/>
    </xf>
    <xf numFmtId="176" fontId="1" fillId="0" borderId="13" xfId="0" applyNumberFormat="1" applyFont="1" applyBorder="1" applyAlignment="1">
      <alignment horizontal="center" vertical="center" wrapText="1"/>
    </xf>
    <xf numFmtId="176" fontId="3" fillId="2" borderId="7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 wrapText="1"/>
    </xf>
    <xf numFmtId="176" fontId="3" fillId="2" borderId="20" xfId="0" applyNumberFormat="1" applyFont="1" applyFill="1" applyBorder="1" applyAlignment="1">
      <alignment horizontal="center" vertical="center" wrapText="1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19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/>
    </xf>
    <xf numFmtId="176" fontId="1" fillId="0" borderId="11" xfId="0" applyNumberFormat="1" applyFont="1" applyBorder="1" applyAlignment="1">
      <alignment horizontal="center" vertical="center" wrapText="1"/>
    </xf>
    <xf numFmtId="176" fontId="1" fillId="0" borderId="10" xfId="0" applyNumberFormat="1" applyFont="1" applyBorder="1" applyAlignment="1">
      <alignment horizontal="center" vertical="center" wrapText="1"/>
    </xf>
    <xf numFmtId="176" fontId="3" fillId="2" borderId="12" xfId="0" applyNumberFormat="1" applyFont="1" applyFill="1" applyBorder="1" applyAlignment="1">
      <alignment horizontal="center" vertical="center" wrapText="1"/>
    </xf>
    <xf numFmtId="176" fontId="3" fillId="2" borderId="19" xfId="0" applyNumberFormat="1" applyFont="1" applyFill="1" applyBorder="1" applyAlignment="1">
      <alignment horizontal="center" vertical="center" shrinkToFit="1"/>
    </xf>
    <xf numFmtId="176" fontId="3" fillId="2" borderId="8" xfId="0" applyNumberFormat="1" applyFont="1" applyFill="1" applyBorder="1" applyAlignment="1">
      <alignment horizontal="center" vertical="center" shrinkToFit="1"/>
    </xf>
    <xf numFmtId="176" fontId="8" fillId="0" borderId="2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esktop\24.&#49688;&#50672;\4.&#44032;&#47196;&#49688;\&#44032;&#47196;&#49688;%20&#54788;&#54889;(2025.%201.%201.&#44592;&#51456;,%20&#48516;&#45817;&#4439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6&#45380;(&#45208;&#55148;)/2.%20&#44032;&#47196;&#49688;/&#9733;&#44032;&#47196;&#49688;%20&#54788;&#54889;(2026.%201.%201.&#44592;&#5145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가로수 현황"/>
      <sheetName val="은행나무"/>
      <sheetName val="Sheet2"/>
      <sheetName val="Sheet3"/>
    </sheetNames>
    <sheetDataSet>
      <sheetData sheetId="0"/>
      <sheetData sheetId="1"/>
      <sheetData sheetId="2">
        <row r="38">
          <cell r="G38">
            <v>40</v>
          </cell>
        </row>
        <row r="39">
          <cell r="G39">
            <v>491</v>
          </cell>
        </row>
        <row r="40">
          <cell r="G40">
            <v>11</v>
          </cell>
        </row>
        <row r="41">
          <cell r="G41">
            <v>58</v>
          </cell>
        </row>
        <row r="42">
          <cell r="G42">
            <v>69</v>
          </cell>
        </row>
        <row r="43">
          <cell r="G43">
            <v>121</v>
          </cell>
        </row>
        <row r="44">
          <cell r="G44">
            <v>69</v>
          </cell>
        </row>
        <row r="45">
          <cell r="G45">
            <v>33</v>
          </cell>
        </row>
        <row r="46">
          <cell r="G46">
            <v>124</v>
          </cell>
        </row>
        <row r="47">
          <cell r="G47">
            <v>14</v>
          </cell>
        </row>
        <row r="48">
          <cell r="G48">
            <v>28</v>
          </cell>
        </row>
        <row r="49">
          <cell r="G49">
            <v>34</v>
          </cell>
        </row>
        <row r="50">
          <cell r="G50">
            <v>21</v>
          </cell>
        </row>
        <row r="51">
          <cell r="G51">
            <v>13</v>
          </cell>
        </row>
        <row r="53">
          <cell r="G53">
            <v>131</v>
          </cell>
        </row>
        <row r="54">
          <cell r="G54">
            <v>105</v>
          </cell>
        </row>
        <row r="56">
          <cell r="G56">
            <v>376</v>
          </cell>
        </row>
        <row r="57">
          <cell r="G57">
            <v>9</v>
          </cell>
        </row>
        <row r="58">
          <cell r="G58">
            <v>721</v>
          </cell>
        </row>
        <row r="59">
          <cell r="G59">
            <v>1080</v>
          </cell>
        </row>
        <row r="60">
          <cell r="G60">
            <v>1763</v>
          </cell>
        </row>
        <row r="61">
          <cell r="G61">
            <v>49</v>
          </cell>
        </row>
        <row r="62">
          <cell r="G62">
            <v>586</v>
          </cell>
        </row>
        <row r="63">
          <cell r="G63">
            <v>675</v>
          </cell>
        </row>
        <row r="64">
          <cell r="G64">
            <v>120</v>
          </cell>
        </row>
        <row r="65">
          <cell r="G65">
            <v>351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은행나무"/>
      <sheetName val="Sheet2"/>
      <sheetName val="Sheet3"/>
    </sheetNames>
    <sheetDataSet>
      <sheetData sheetId="0"/>
      <sheetData sheetId="1">
        <row r="55">
          <cell r="G55">
            <v>114</v>
          </cell>
        </row>
        <row r="66">
          <cell r="G66">
            <v>30</v>
          </cell>
        </row>
        <row r="67">
          <cell r="G67">
            <v>161</v>
          </cell>
        </row>
        <row r="68">
          <cell r="G68">
            <v>14</v>
          </cell>
        </row>
        <row r="69">
          <cell r="G69">
            <v>15</v>
          </cell>
        </row>
        <row r="70">
          <cell r="G70">
            <v>30</v>
          </cell>
        </row>
        <row r="71">
          <cell r="G71">
            <v>28</v>
          </cell>
        </row>
        <row r="72">
          <cell r="G72">
            <v>42</v>
          </cell>
        </row>
        <row r="74">
          <cell r="G74">
            <v>88</v>
          </cell>
        </row>
        <row r="75">
          <cell r="G75">
            <v>21</v>
          </cell>
        </row>
        <row r="76">
          <cell r="G76">
            <v>27</v>
          </cell>
        </row>
        <row r="77">
          <cell r="G77">
            <v>9</v>
          </cell>
        </row>
        <row r="78">
          <cell r="G78">
            <v>99</v>
          </cell>
        </row>
        <row r="79">
          <cell r="G79">
            <v>125</v>
          </cell>
        </row>
        <row r="80">
          <cell r="G80">
            <v>6</v>
          </cell>
        </row>
        <row r="81">
          <cell r="G81">
            <v>142</v>
          </cell>
        </row>
        <row r="82">
          <cell r="G82">
            <v>72</v>
          </cell>
        </row>
        <row r="83">
          <cell r="G83">
            <v>1</v>
          </cell>
        </row>
        <row r="84">
          <cell r="G84">
            <v>163</v>
          </cell>
        </row>
        <row r="85">
          <cell r="G85">
            <v>75</v>
          </cell>
        </row>
        <row r="86">
          <cell r="G86">
            <v>13</v>
          </cell>
        </row>
        <row r="87">
          <cell r="G87">
            <v>3</v>
          </cell>
        </row>
        <row r="88">
          <cell r="G88">
            <v>86</v>
          </cell>
        </row>
        <row r="89">
          <cell r="G89">
            <v>35</v>
          </cell>
        </row>
        <row r="90">
          <cell r="G90">
            <v>96</v>
          </cell>
        </row>
        <row r="91">
          <cell r="G91">
            <v>33</v>
          </cell>
        </row>
        <row r="92">
          <cell r="G92">
            <v>4</v>
          </cell>
        </row>
        <row r="93">
          <cell r="G93">
            <v>3</v>
          </cell>
        </row>
        <row r="94">
          <cell r="G94">
            <v>25</v>
          </cell>
        </row>
        <row r="95">
          <cell r="G95">
            <v>33</v>
          </cell>
        </row>
        <row r="96">
          <cell r="G96">
            <v>55</v>
          </cell>
        </row>
        <row r="97">
          <cell r="G97">
            <v>31</v>
          </cell>
        </row>
        <row r="98">
          <cell r="G98">
            <v>6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8272A-4B28-44F3-80C8-0FD06FA321B1}">
  <sheetPr>
    <pageSetUpPr fitToPage="1"/>
  </sheetPr>
  <dimension ref="A1:BD285"/>
  <sheetViews>
    <sheetView tabSelected="1" view="pageBreakPreview" zoomScale="85" zoomScaleNormal="100" zoomScaleSheetLayoutView="85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BB119" sqref="BB119"/>
    </sheetView>
  </sheetViews>
  <sheetFormatPr defaultRowHeight="16.5" x14ac:dyDescent="0.3"/>
  <cols>
    <col min="1" max="1" width="6.375" style="1" customWidth="1"/>
    <col min="2" max="3" width="5.125" style="1" customWidth="1"/>
    <col min="4" max="4" width="29" style="1" customWidth="1"/>
    <col min="5" max="5" width="15.625" style="1" customWidth="1"/>
    <col min="6" max="6" width="13.125" style="2" customWidth="1"/>
    <col min="7" max="8" width="19.5" style="1" customWidth="1"/>
    <col min="9" max="10" width="10.625" style="2" hidden="1" customWidth="1"/>
    <col min="11" max="11" width="11.375" style="2" hidden="1" customWidth="1"/>
    <col min="12" max="12" width="8.375" style="2" hidden="1" customWidth="1"/>
    <col min="13" max="13" width="10.125" style="2" hidden="1" customWidth="1"/>
    <col min="14" max="19" width="10.625" style="2" hidden="1" customWidth="1"/>
    <col min="20" max="21" width="5.25" style="1" customWidth="1"/>
    <col min="22" max="22" width="11.625" style="2" customWidth="1"/>
    <col min="23" max="35" width="7.625" style="2" customWidth="1"/>
    <col min="36" max="36" width="7.625" style="4" customWidth="1"/>
    <col min="37" max="37" width="7.625" style="2" customWidth="1"/>
    <col min="38" max="38" width="7.625" style="3" customWidth="1"/>
    <col min="40" max="40" width="9" style="1"/>
    <col min="41" max="54" width="9" style="2"/>
    <col min="57" max="16384" width="9" style="1"/>
  </cols>
  <sheetData>
    <row r="1" spans="1:56" ht="14.25" customHeight="1" x14ac:dyDescent="0.3">
      <c r="A1" s="83" t="s">
        <v>910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</row>
    <row r="2" spans="1:56" ht="18" customHeight="1" x14ac:dyDescent="0.3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</row>
    <row r="3" spans="1:56" ht="16.5" customHeight="1" thickBot="1" x14ac:dyDescent="0.35">
      <c r="A3" s="80"/>
      <c r="B3" s="80"/>
      <c r="C3" s="80"/>
      <c r="D3" s="79"/>
      <c r="E3" s="79"/>
      <c r="F3" s="78"/>
      <c r="G3" s="79"/>
      <c r="H3" s="79"/>
      <c r="I3" s="94"/>
      <c r="J3" s="94"/>
      <c r="K3" s="94"/>
      <c r="L3" s="94"/>
      <c r="M3" s="94"/>
      <c r="N3" s="94"/>
      <c r="O3" s="94"/>
      <c r="P3" s="94"/>
      <c r="Q3" s="78"/>
      <c r="R3" s="78"/>
      <c r="S3" s="78"/>
      <c r="T3" s="94"/>
      <c r="U3" s="94"/>
      <c r="V3" s="78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100" t="s">
        <v>911</v>
      </c>
      <c r="AI3" s="100"/>
      <c r="AJ3" s="100"/>
      <c r="AK3" s="100"/>
      <c r="AL3" s="100"/>
      <c r="AM3" s="1"/>
      <c r="BC3" s="1"/>
      <c r="BD3" s="1"/>
    </row>
    <row r="4" spans="1:56" ht="16.5" customHeight="1" x14ac:dyDescent="0.3">
      <c r="A4" s="91" t="s">
        <v>909</v>
      </c>
      <c r="B4" s="93" t="s">
        <v>908</v>
      </c>
      <c r="C4" s="89"/>
      <c r="D4" s="81" t="s">
        <v>907</v>
      </c>
      <c r="E4" s="81" t="s">
        <v>906</v>
      </c>
      <c r="F4" s="81" t="s">
        <v>905</v>
      </c>
      <c r="G4" s="81" t="s">
        <v>904</v>
      </c>
      <c r="H4" s="81" t="s">
        <v>903</v>
      </c>
      <c r="I4" s="98" t="s">
        <v>902</v>
      </c>
      <c r="J4" s="99"/>
      <c r="K4" s="99"/>
      <c r="L4" s="99"/>
      <c r="M4" s="99"/>
      <c r="N4" s="99"/>
      <c r="O4" s="99"/>
      <c r="P4" s="99"/>
      <c r="Q4" s="99"/>
      <c r="R4" s="99"/>
      <c r="S4" s="99"/>
      <c r="T4" s="93" t="s">
        <v>901</v>
      </c>
      <c r="U4" s="89"/>
      <c r="V4" s="81" t="s">
        <v>900</v>
      </c>
      <c r="W4" s="81" t="s">
        <v>13</v>
      </c>
      <c r="X4" s="81" t="s">
        <v>12</v>
      </c>
      <c r="Y4" s="81" t="s">
        <v>11</v>
      </c>
      <c r="Z4" s="81" t="s">
        <v>10</v>
      </c>
      <c r="AA4" s="81" t="s">
        <v>9</v>
      </c>
      <c r="AB4" s="81" t="s">
        <v>8</v>
      </c>
      <c r="AC4" s="81" t="s">
        <v>7</v>
      </c>
      <c r="AD4" s="81" t="s">
        <v>6</v>
      </c>
      <c r="AE4" s="81" t="s">
        <v>5</v>
      </c>
      <c r="AF4" s="81" t="s">
        <v>4</v>
      </c>
      <c r="AG4" s="81" t="s">
        <v>3</v>
      </c>
      <c r="AH4" s="81" t="s">
        <v>2</v>
      </c>
      <c r="AI4" s="81" t="s">
        <v>1</v>
      </c>
      <c r="AJ4" s="81" t="s">
        <v>0</v>
      </c>
      <c r="AK4" s="89" t="s">
        <v>886</v>
      </c>
      <c r="AL4" s="87" t="s">
        <v>885</v>
      </c>
    </row>
    <row r="5" spans="1:56" ht="16.5" customHeight="1" x14ac:dyDescent="0.3">
      <c r="A5" s="92"/>
      <c r="B5" s="97"/>
      <c r="C5" s="90"/>
      <c r="D5" s="82"/>
      <c r="E5" s="82"/>
      <c r="F5" s="82"/>
      <c r="G5" s="82"/>
      <c r="H5" s="82"/>
      <c r="I5" s="76" t="s">
        <v>899</v>
      </c>
      <c r="J5" s="76" t="s">
        <v>898</v>
      </c>
      <c r="K5" s="76" t="s">
        <v>897</v>
      </c>
      <c r="L5" s="76" t="s">
        <v>896</v>
      </c>
      <c r="M5" s="76" t="s">
        <v>895</v>
      </c>
      <c r="N5" s="76" t="s">
        <v>894</v>
      </c>
      <c r="O5" s="76" t="s">
        <v>893</v>
      </c>
      <c r="P5" s="76" t="s">
        <v>892</v>
      </c>
      <c r="Q5" s="76" t="s">
        <v>891</v>
      </c>
      <c r="R5" s="76" t="s">
        <v>890</v>
      </c>
      <c r="S5" s="76" t="s">
        <v>889</v>
      </c>
      <c r="T5" s="6" t="s">
        <v>888</v>
      </c>
      <c r="U5" s="6" t="s">
        <v>887</v>
      </c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90"/>
      <c r="AL5" s="88"/>
      <c r="AO5" s="2" t="s">
        <v>13</v>
      </c>
      <c r="AP5" s="2" t="s">
        <v>12</v>
      </c>
      <c r="AQ5" s="2" t="s">
        <v>11</v>
      </c>
      <c r="AR5" s="2" t="s">
        <v>10</v>
      </c>
      <c r="AS5" s="2" t="s">
        <v>9</v>
      </c>
      <c r="AT5" s="2" t="s">
        <v>8</v>
      </c>
      <c r="AU5" s="2" t="s">
        <v>7</v>
      </c>
      <c r="AV5" s="2" t="s">
        <v>6</v>
      </c>
      <c r="AW5" s="2" t="s">
        <v>5</v>
      </c>
      <c r="AX5" s="2" t="s">
        <v>4</v>
      </c>
      <c r="AY5" s="2" t="s">
        <v>3</v>
      </c>
      <c r="AZ5" s="2" t="s">
        <v>2</v>
      </c>
      <c r="BA5" s="2" t="s">
        <v>1</v>
      </c>
      <c r="BB5" s="2" t="s">
        <v>0</v>
      </c>
      <c r="BC5" s="2" t="s">
        <v>886</v>
      </c>
      <c r="BD5" s="2" t="s">
        <v>885</v>
      </c>
    </row>
    <row r="6" spans="1:56" ht="16.5" customHeight="1" x14ac:dyDescent="0.3">
      <c r="A6" s="75" t="s">
        <v>884</v>
      </c>
      <c r="B6" s="97"/>
      <c r="C6" s="90"/>
      <c r="D6" s="6" t="s">
        <v>883</v>
      </c>
      <c r="E6" s="74">
        <f>E7+E58+E118</f>
        <v>331.57999999999993</v>
      </c>
      <c r="F6" s="6"/>
      <c r="G6" s="73"/>
      <c r="H6" s="73"/>
      <c r="I6" s="6">
        <f>I7+I58+I118</f>
        <v>31</v>
      </c>
      <c r="J6" s="6"/>
      <c r="K6" s="6">
        <f>K7+K58+K118</f>
        <v>5</v>
      </c>
      <c r="L6" s="6"/>
      <c r="M6" s="6"/>
      <c r="N6" s="6">
        <f>N7+N58+N118</f>
        <v>40</v>
      </c>
      <c r="O6" s="6">
        <f>O7+O58+O118</f>
        <v>4</v>
      </c>
      <c r="P6" s="6">
        <f>P7+P58+P118</f>
        <v>6</v>
      </c>
      <c r="Q6" s="6">
        <f>Q7+Q58+Q118</f>
        <v>22</v>
      </c>
      <c r="R6" s="6"/>
      <c r="S6" s="6">
        <f>S7+S58+S118</f>
        <v>15</v>
      </c>
      <c r="T6" s="73"/>
      <c r="U6" s="73"/>
      <c r="V6" s="6">
        <f t="shared" ref="V6:AJ6" si="0">V7+V58+V118</f>
        <v>48410</v>
      </c>
      <c r="W6" s="6">
        <f t="shared" si="0"/>
        <v>11578</v>
      </c>
      <c r="X6" s="6">
        <f t="shared" si="0"/>
        <v>5419</v>
      </c>
      <c r="Y6" s="6">
        <f t="shared" si="0"/>
        <v>3468</v>
      </c>
      <c r="Z6" s="6">
        <f t="shared" si="0"/>
        <v>427</v>
      </c>
      <c r="AA6" s="6">
        <f t="shared" si="0"/>
        <v>17130</v>
      </c>
      <c r="AB6" s="6">
        <f t="shared" si="0"/>
        <v>3713</v>
      </c>
      <c r="AC6" s="6">
        <f t="shared" si="0"/>
        <v>3631</v>
      </c>
      <c r="AD6" s="6">
        <f t="shared" si="0"/>
        <v>310</v>
      </c>
      <c r="AE6" s="6">
        <f t="shared" si="0"/>
        <v>556</v>
      </c>
      <c r="AF6" s="6">
        <f t="shared" si="0"/>
        <v>115</v>
      </c>
      <c r="AG6" s="6">
        <f t="shared" si="0"/>
        <v>1452</v>
      </c>
      <c r="AH6" s="6">
        <f t="shared" si="0"/>
        <v>133</v>
      </c>
      <c r="AI6" s="6">
        <f t="shared" si="0"/>
        <v>64</v>
      </c>
      <c r="AJ6" s="6">
        <f t="shared" si="0"/>
        <v>67</v>
      </c>
      <c r="AK6" s="72">
        <f>AK7+AK56+AK118</f>
        <v>317</v>
      </c>
      <c r="AL6" s="71">
        <f>AL7+AL56+AL118</f>
        <v>30</v>
      </c>
      <c r="AO6" s="70">
        <f t="shared" ref="AO6:BA7" si="1">W6/$V6</f>
        <v>0.23916546168147076</v>
      </c>
      <c r="AP6" s="70">
        <f t="shared" si="1"/>
        <v>0.11193968188390828</v>
      </c>
      <c r="AQ6" s="70">
        <f t="shared" si="1"/>
        <v>7.1638091303449697E-2</v>
      </c>
      <c r="AR6" s="70">
        <f t="shared" si="1"/>
        <v>8.820491633959926E-3</v>
      </c>
      <c r="AS6" s="70">
        <f t="shared" si="1"/>
        <v>0.35385250981202232</v>
      </c>
      <c r="AT6" s="70">
        <f t="shared" si="1"/>
        <v>7.6699029126213597E-2</v>
      </c>
      <c r="AU6" s="70">
        <f t="shared" si="1"/>
        <v>7.500516422226812E-2</v>
      </c>
      <c r="AV6" s="70">
        <f t="shared" si="1"/>
        <v>6.4036356124767607E-3</v>
      </c>
      <c r="AW6" s="70">
        <f t="shared" si="1"/>
        <v>1.1485230324313159E-2</v>
      </c>
      <c r="AX6" s="70">
        <f t="shared" si="1"/>
        <v>2.3755422433381535E-3</v>
      </c>
      <c r="AY6" s="70">
        <f t="shared" si="1"/>
        <v>2.999380293327825E-2</v>
      </c>
      <c r="AZ6" s="70">
        <f t="shared" si="1"/>
        <v>2.7473662466432555E-3</v>
      </c>
      <c r="BA6" s="70">
        <f t="shared" si="1"/>
        <v>1.3220409006403635E-3</v>
      </c>
      <c r="BB6" s="70">
        <f t="shared" ref="BB6:BD7" si="2">AL6/$V6</f>
        <v>6.1970667217517037E-4</v>
      </c>
      <c r="BC6" s="70">
        <f t="shared" si="2"/>
        <v>0</v>
      </c>
      <c r="BD6" s="70">
        <f t="shared" si="2"/>
        <v>0</v>
      </c>
    </row>
    <row r="7" spans="1:56" ht="16.5" customHeight="1" x14ac:dyDescent="0.3">
      <c r="A7" s="84" t="s">
        <v>882</v>
      </c>
      <c r="B7" s="31"/>
      <c r="C7" s="30"/>
      <c r="D7" s="26" t="s">
        <v>535</v>
      </c>
      <c r="E7" s="38">
        <f>SUM(E8:E57)+0.5</f>
        <v>74.760000000000005</v>
      </c>
      <c r="F7" s="26"/>
      <c r="G7" s="27"/>
      <c r="H7" s="27"/>
      <c r="I7" s="26">
        <f>COUNTA(I8:I56)</f>
        <v>16</v>
      </c>
      <c r="J7" s="26"/>
      <c r="K7" s="26">
        <f>COUNTA(K8:K56)</f>
        <v>0</v>
      </c>
      <c r="L7" s="26"/>
      <c r="M7" s="26"/>
      <c r="N7" s="26">
        <f>COUNTA(N8:N56)</f>
        <v>8</v>
      </c>
      <c r="O7" s="26">
        <f>COUNTA(O8:O56)</f>
        <v>0</v>
      </c>
      <c r="P7" s="26">
        <f>COUNTA(P8:P56)</f>
        <v>2</v>
      </c>
      <c r="Q7" s="26">
        <f>COUNTA(Q8:Q56)</f>
        <v>3</v>
      </c>
      <c r="R7" s="26"/>
      <c r="S7" s="26">
        <f>COUNTA(S8:S56)</f>
        <v>1</v>
      </c>
      <c r="T7" s="27"/>
      <c r="U7" s="27"/>
      <c r="V7" s="26">
        <f>SUM(V8:V57)</f>
        <v>9996</v>
      </c>
      <c r="W7" s="26">
        <f t="shared" ref="W7:AB7" si="3">SUM(W8:W56)</f>
        <v>1344</v>
      </c>
      <c r="X7" s="26">
        <f t="shared" si="3"/>
        <v>873</v>
      </c>
      <c r="Y7" s="26">
        <f t="shared" si="3"/>
        <v>428</v>
      </c>
      <c r="Z7" s="26">
        <f t="shared" si="3"/>
        <v>0</v>
      </c>
      <c r="AA7" s="26">
        <f t="shared" si="3"/>
        <v>5148</v>
      </c>
      <c r="AB7" s="26">
        <f t="shared" si="3"/>
        <v>618</v>
      </c>
      <c r="AC7" s="26">
        <f>SUM(AC8:AC57)</f>
        <v>1279</v>
      </c>
      <c r="AD7" s="26">
        <f t="shared" ref="AD7:AL7" si="4">SUM(AD8:AD56)</f>
        <v>0</v>
      </c>
      <c r="AE7" s="26">
        <f t="shared" si="4"/>
        <v>42</v>
      </c>
      <c r="AF7" s="26">
        <f t="shared" si="4"/>
        <v>0</v>
      </c>
      <c r="AG7" s="26">
        <f t="shared" si="4"/>
        <v>264</v>
      </c>
      <c r="AH7" s="26">
        <f t="shared" si="4"/>
        <v>0</v>
      </c>
      <c r="AI7" s="26">
        <f t="shared" si="4"/>
        <v>0</v>
      </c>
      <c r="AJ7" s="26">
        <f t="shared" si="4"/>
        <v>0</v>
      </c>
      <c r="AK7" s="26">
        <f t="shared" si="4"/>
        <v>0</v>
      </c>
      <c r="AL7" s="26">
        <f t="shared" si="4"/>
        <v>0</v>
      </c>
      <c r="AM7" s="1"/>
      <c r="AO7" s="70">
        <f>W7/$V7</f>
        <v>0.13445378151260504</v>
      </c>
      <c r="AP7" s="70">
        <f t="shared" si="1"/>
        <v>8.7334933973589435E-2</v>
      </c>
      <c r="AQ7" s="70">
        <f t="shared" si="1"/>
        <v>4.2817126850740295E-2</v>
      </c>
      <c r="AR7" s="70">
        <f t="shared" si="1"/>
        <v>0</v>
      </c>
      <c r="AS7" s="70">
        <f t="shared" si="1"/>
        <v>0.51500600240096039</v>
      </c>
      <c r="AT7" s="70">
        <f t="shared" si="1"/>
        <v>6.1824729891956781E-2</v>
      </c>
      <c r="AU7" s="70">
        <f t="shared" si="1"/>
        <v>0.12795118047218887</v>
      </c>
      <c r="AV7" s="70">
        <f t="shared" si="1"/>
        <v>0</v>
      </c>
      <c r="AW7" s="70">
        <f t="shared" si="1"/>
        <v>4.2016806722689074E-3</v>
      </c>
      <c r="AX7" s="70">
        <f t="shared" si="1"/>
        <v>0</v>
      </c>
      <c r="AY7" s="70">
        <f t="shared" si="1"/>
        <v>2.6410564225690276E-2</v>
      </c>
      <c r="AZ7" s="70">
        <f t="shared" si="1"/>
        <v>0</v>
      </c>
      <c r="BA7" s="70">
        <f t="shared" si="1"/>
        <v>0</v>
      </c>
      <c r="BB7" s="70">
        <f t="shared" si="2"/>
        <v>0</v>
      </c>
      <c r="BC7" s="70">
        <f t="shared" si="2"/>
        <v>0</v>
      </c>
      <c r="BD7" s="70">
        <f t="shared" si="2"/>
        <v>0</v>
      </c>
    </row>
    <row r="8" spans="1:56" ht="16.5" customHeight="1" x14ac:dyDescent="0.3">
      <c r="A8" s="85"/>
      <c r="B8" s="49" t="s">
        <v>731</v>
      </c>
      <c r="C8" s="48">
        <v>1</v>
      </c>
      <c r="D8" s="42" t="s">
        <v>881</v>
      </c>
      <c r="E8" s="47">
        <v>6.1</v>
      </c>
      <c r="F8" s="67"/>
      <c r="G8" s="45" t="s">
        <v>880</v>
      </c>
      <c r="H8" s="45" t="s">
        <v>879</v>
      </c>
      <c r="I8" s="64" t="s">
        <v>51</v>
      </c>
      <c r="J8" s="64" t="s">
        <v>670</v>
      </c>
      <c r="K8" s="64"/>
      <c r="L8" s="64"/>
      <c r="M8" s="69"/>
      <c r="N8" s="45" t="s">
        <v>51</v>
      </c>
      <c r="O8" s="45"/>
      <c r="P8" s="64"/>
      <c r="Q8" s="67"/>
      <c r="R8" s="67"/>
      <c r="S8" s="67"/>
      <c r="T8" s="45" t="s">
        <v>878</v>
      </c>
      <c r="U8" s="45" t="s">
        <v>499</v>
      </c>
      <c r="V8" s="42">
        <f t="shared" ref="V8:V39" si="5">SUM(W8:AL8)</f>
        <v>884</v>
      </c>
      <c r="W8" s="43">
        <v>464</v>
      </c>
      <c r="X8" s="42"/>
      <c r="Y8" s="42">
        <v>407</v>
      </c>
      <c r="Z8" s="42"/>
      <c r="AA8" s="42">
        <v>13</v>
      </c>
      <c r="AB8" s="42"/>
      <c r="AC8" s="42"/>
      <c r="AD8" s="41"/>
      <c r="AE8" s="41"/>
      <c r="AF8" s="41"/>
      <c r="AG8" s="41"/>
      <c r="AH8" s="41"/>
      <c r="AI8" s="41"/>
      <c r="AJ8" s="41"/>
      <c r="AK8" s="34"/>
      <c r="AL8" s="33"/>
      <c r="AM8" s="1"/>
      <c r="BC8" s="2"/>
      <c r="BD8" s="2"/>
    </row>
    <row r="9" spans="1:56" ht="16.5" customHeight="1" x14ac:dyDescent="0.3">
      <c r="A9" s="85"/>
      <c r="B9" s="49" t="s">
        <v>737</v>
      </c>
      <c r="C9" s="48">
        <v>2</v>
      </c>
      <c r="D9" s="42" t="s">
        <v>406</v>
      </c>
      <c r="E9" s="47">
        <v>3.8</v>
      </c>
      <c r="F9" s="68" t="s">
        <v>409</v>
      </c>
      <c r="G9" s="42" t="s">
        <v>689</v>
      </c>
      <c r="H9" s="42" t="s">
        <v>877</v>
      </c>
      <c r="I9" s="42"/>
      <c r="J9" s="42"/>
      <c r="K9" s="42"/>
      <c r="L9" s="42"/>
      <c r="M9" s="42"/>
      <c r="N9" s="42" t="s">
        <v>51</v>
      </c>
      <c r="O9" s="42"/>
      <c r="P9" s="42"/>
      <c r="Q9" s="68" t="s">
        <v>51</v>
      </c>
      <c r="R9" s="68" t="s">
        <v>876</v>
      </c>
      <c r="S9" s="68"/>
      <c r="T9" s="47" t="s">
        <v>525</v>
      </c>
      <c r="U9" s="47" t="s">
        <v>875</v>
      </c>
      <c r="V9" s="42">
        <f t="shared" si="5"/>
        <v>1084</v>
      </c>
      <c r="W9" s="43"/>
      <c r="X9" s="42"/>
      <c r="Y9" s="42"/>
      <c r="Z9" s="42"/>
      <c r="AA9" s="42">
        <v>1084</v>
      </c>
      <c r="AB9" s="42"/>
      <c r="AC9" s="42"/>
      <c r="AD9" s="41"/>
      <c r="AE9" s="41"/>
      <c r="AF9" s="41"/>
      <c r="AG9" s="41"/>
      <c r="AH9" s="41"/>
      <c r="AI9" s="41"/>
      <c r="AJ9" s="41"/>
      <c r="AK9" s="34"/>
      <c r="AL9" s="33"/>
      <c r="AM9" s="1"/>
      <c r="BC9" s="2"/>
      <c r="BD9" s="2"/>
    </row>
    <row r="10" spans="1:56" ht="16.5" customHeight="1" x14ac:dyDescent="0.3">
      <c r="A10" s="85"/>
      <c r="B10" s="49" t="s">
        <v>737</v>
      </c>
      <c r="C10" s="48">
        <v>3</v>
      </c>
      <c r="D10" s="42" t="s">
        <v>874</v>
      </c>
      <c r="E10" s="47">
        <v>6.1</v>
      </c>
      <c r="F10" s="67" t="s">
        <v>73</v>
      </c>
      <c r="G10" s="45" t="s">
        <v>873</v>
      </c>
      <c r="H10" s="45" t="s">
        <v>872</v>
      </c>
      <c r="I10" s="64" t="s">
        <v>51</v>
      </c>
      <c r="J10" s="64" t="s">
        <v>607</v>
      </c>
      <c r="K10" s="64"/>
      <c r="L10" s="64"/>
      <c r="M10" s="64"/>
      <c r="N10" s="45" t="s">
        <v>51</v>
      </c>
      <c r="O10" s="45"/>
      <c r="P10" s="64"/>
      <c r="Q10" s="67" t="s">
        <v>70</v>
      </c>
      <c r="R10" s="67" t="s">
        <v>69</v>
      </c>
      <c r="S10" s="67"/>
      <c r="T10" s="45">
        <v>4</v>
      </c>
      <c r="U10" s="45" t="s">
        <v>525</v>
      </c>
      <c r="V10" s="42">
        <f t="shared" si="5"/>
        <v>695</v>
      </c>
      <c r="W10" s="43"/>
      <c r="X10" s="42"/>
      <c r="Y10" s="42">
        <v>18</v>
      </c>
      <c r="Z10" s="42" t="s">
        <v>310</v>
      </c>
      <c r="AA10" s="42">
        <v>677</v>
      </c>
      <c r="AB10" s="42"/>
      <c r="AC10" s="42"/>
      <c r="AD10" s="41"/>
      <c r="AE10" s="41"/>
      <c r="AF10" s="41"/>
      <c r="AG10" s="41"/>
      <c r="AH10" s="41"/>
      <c r="AI10" s="41"/>
      <c r="AJ10" s="41"/>
      <c r="AK10" s="34"/>
      <c r="AL10" s="33"/>
      <c r="AM10" s="1"/>
      <c r="BC10" s="2"/>
      <c r="BD10" s="2"/>
    </row>
    <row r="11" spans="1:56" ht="16.5" customHeight="1" x14ac:dyDescent="0.3">
      <c r="A11" s="85"/>
      <c r="B11" s="58" t="s">
        <v>737</v>
      </c>
      <c r="C11" s="57">
        <v>4</v>
      </c>
      <c r="D11" s="56" t="s">
        <v>531</v>
      </c>
      <c r="E11" s="55">
        <v>6</v>
      </c>
      <c r="F11" s="65"/>
      <c r="G11" s="53" t="s">
        <v>530</v>
      </c>
      <c r="H11" s="53" t="s">
        <v>871</v>
      </c>
      <c r="I11" s="66"/>
      <c r="J11" s="66"/>
      <c r="K11" s="66"/>
      <c r="L11" s="66"/>
      <c r="M11" s="66"/>
      <c r="N11" s="53"/>
      <c r="O11" s="53"/>
      <c r="P11" s="66"/>
      <c r="Q11" s="65"/>
      <c r="R11" s="65"/>
      <c r="S11" s="65"/>
      <c r="T11" s="53" t="s">
        <v>90</v>
      </c>
      <c r="U11" s="53" t="s">
        <v>213</v>
      </c>
      <c r="V11" s="56">
        <f t="shared" si="5"/>
        <v>1193</v>
      </c>
      <c r="W11" s="43"/>
      <c r="X11" s="42"/>
      <c r="Y11" s="42"/>
      <c r="Z11" s="42"/>
      <c r="AA11" s="42">
        <v>1193</v>
      </c>
      <c r="AB11" s="42"/>
      <c r="AC11" s="42"/>
      <c r="AD11" s="41"/>
      <c r="AE11" s="41"/>
      <c r="AF11" s="41"/>
      <c r="AG11" s="41"/>
      <c r="AH11" s="41"/>
      <c r="AI11" s="41"/>
      <c r="AJ11" s="41"/>
      <c r="AK11" s="34"/>
      <c r="AL11" s="33"/>
      <c r="AM11" s="1"/>
      <c r="BC11" s="1"/>
      <c r="BD11" s="1"/>
    </row>
    <row r="12" spans="1:56" ht="16.5" customHeight="1" x14ac:dyDescent="0.3">
      <c r="A12" s="85"/>
      <c r="B12" s="58" t="s">
        <v>737</v>
      </c>
      <c r="C12" s="57">
        <v>5</v>
      </c>
      <c r="D12" s="56" t="s">
        <v>658</v>
      </c>
      <c r="E12" s="55">
        <v>3.2</v>
      </c>
      <c r="F12" s="54"/>
      <c r="G12" s="53" t="s">
        <v>870</v>
      </c>
      <c r="H12" s="53" t="s">
        <v>763</v>
      </c>
      <c r="I12" s="53"/>
      <c r="J12" s="53"/>
      <c r="K12" s="53"/>
      <c r="L12" s="53"/>
      <c r="M12" s="53"/>
      <c r="N12" s="53"/>
      <c r="O12" s="53"/>
      <c r="P12" s="53"/>
      <c r="Q12" s="54"/>
      <c r="R12" s="54"/>
      <c r="S12" s="54"/>
      <c r="T12" s="53" t="s">
        <v>869</v>
      </c>
      <c r="U12" s="53" t="s">
        <v>869</v>
      </c>
      <c r="V12" s="56">
        <f t="shared" si="5"/>
        <v>230</v>
      </c>
      <c r="W12" s="43">
        <v>20</v>
      </c>
      <c r="X12" s="42"/>
      <c r="Y12" s="42"/>
      <c r="Z12" s="42"/>
      <c r="AA12" s="42"/>
      <c r="AB12" s="42"/>
      <c r="AC12" s="42">
        <v>168</v>
      </c>
      <c r="AD12" s="42"/>
      <c r="AE12" s="42">
        <v>42</v>
      </c>
      <c r="AF12" s="41"/>
      <c r="AG12" s="41"/>
      <c r="AH12" s="41"/>
      <c r="AI12" s="41"/>
      <c r="AJ12" s="41"/>
      <c r="AK12" s="34"/>
      <c r="AL12" s="33"/>
      <c r="AM12" s="1"/>
      <c r="BC12" s="1"/>
      <c r="BD12" s="1"/>
    </row>
    <row r="13" spans="1:56" ht="16.5" customHeight="1" x14ac:dyDescent="0.3">
      <c r="A13" s="85"/>
      <c r="B13" s="58" t="s">
        <v>737</v>
      </c>
      <c r="C13" s="57">
        <v>6</v>
      </c>
      <c r="D13" s="56" t="s">
        <v>868</v>
      </c>
      <c r="E13" s="55">
        <v>1.5</v>
      </c>
      <c r="F13" s="54"/>
      <c r="G13" s="53" t="s">
        <v>867</v>
      </c>
      <c r="H13" s="53" t="s">
        <v>866</v>
      </c>
      <c r="I13" s="66" t="s">
        <v>51</v>
      </c>
      <c r="J13" s="66" t="s">
        <v>521</v>
      </c>
      <c r="K13" s="66"/>
      <c r="L13" s="66"/>
      <c r="M13" s="66"/>
      <c r="N13" s="53" t="s">
        <v>51</v>
      </c>
      <c r="O13" s="53"/>
      <c r="P13" s="53"/>
      <c r="Q13" s="54"/>
      <c r="R13" s="54"/>
      <c r="S13" s="54"/>
      <c r="T13" s="53" t="s">
        <v>133</v>
      </c>
      <c r="U13" s="53" t="s">
        <v>133</v>
      </c>
      <c r="V13" s="56">
        <f t="shared" si="5"/>
        <v>218</v>
      </c>
      <c r="W13" s="43">
        <v>165</v>
      </c>
      <c r="X13" s="42">
        <v>53</v>
      </c>
      <c r="Y13" s="42"/>
      <c r="Z13" s="42"/>
      <c r="AA13" s="42"/>
      <c r="AB13" s="42"/>
      <c r="AC13" s="42"/>
      <c r="AD13" s="41"/>
      <c r="AE13" s="41"/>
      <c r="AF13" s="41"/>
      <c r="AG13" s="41"/>
      <c r="AH13" s="41"/>
      <c r="AI13" s="41"/>
      <c r="AJ13" s="41"/>
      <c r="AK13" s="34"/>
      <c r="AL13" s="33"/>
      <c r="AM13" s="1"/>
      <c r="BC13" s="1"/>
      <c r="BD13" s="1"/>
    </row>
    <row r="14" spans="1:56" s="36" customFormat="1" ht="16.5" customHeight="1" x14ac:dyDescent="0.3">
      <c r="A14" s="85"/>
      <c r="B14" s="58" t="s">
        <v>737</v>
      </c>
      <c r="C14" s="57">
        <v>7</v>
      </c>
      <c r="D14" s="56" t="s">
        <v>676</v>
      </c>
      <c r="E14" s="55">
        <v>1.5</v>
      </c>
      <c r="F14" s="54"/>
      <c r="G14" s="53" t="s">
        <v>865</v>
      </c>
      <c r="H14" s="53" t="s">
        <v>864</v>
      </c>
      <c r="I14" s="66" t="s">
        <v>51</v>
      </c>
      <c r="J14" s="66" t="s">
        <v>521</v>
      </c>
      <c r="K14" s="66"/>
      <c r="L14" s="66"/>
      <c r="M14" s="66"/>
      <c r="N14" s="53" t="s">
        <v>51</v>
      </c>
      <c r="O14" s="53"/>
      <c r="P14" s="53"/>
      <c r="Q14" s="54"/>
      <c r="R14" s="54"/>
      <c r="S14" s="54"/>
      <c r="T14" s="53" t="s">
        <v>317</v>
      </c>
      <c r="U14" s="53" t="s">
        <v>601</v>
      </c>
      <c r="V14" s="56">
        <f t="shared" si="5"/>
        <v>250</v>
      </c>
      <c r="W14" s="43">
        <v>2</v>
      </c>
      <c r="X14" s="42">
        <v>248</v>
      </c>
      <c r="Y14" s="42"/>
      <c r="Z14" s="42"/>
      <c r="AA14" s="42"/>
      <c r="AB14" s="42"/>
      <c r="AC14" s="42"/>
      <c r="AD14" s="41"/>
      <c r="AE14" s="41"/>
      <c r="AF14" s="41"/>
      <c r="AG14" s="41"/>
      <c r="AH14" s="41"/>
      <c r="AI14" s="41"/>
      <c r="AJ14" s="41"/>
      <c r="AK14" s="34"/>
      <c r="AL14" s="33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</row>
    <row r="15" spans="1:56" ht="16.5" customHeight="1" x14ac:dyDescent="0.3">
      <c r="A15" s="85"/>
      <c r="B15" s="58" t="s">
        <v>737</v>
      </c>
      <c r="C15" s="57">
        <v>8</v>
      </c>
      <c r="D15" s="56" t="s">
        <v>863</v>
      </c>
      <c r="E15" s="55">
        <v>2</v>
      </c>
      <c r="F15" s="65" t="s">
        <v>73</v>
      </c>
      <c r="G15" s="53" t="s">
        <v>862</v>
      </c>
      <c r="H15" s="53" t="s">
        <v>861</v>
      </c>
      <c r="I15" s="53"/>
      <c r="J15" s="53"/>
      <c r="K15" s="53"/>
      <c r="L15" s="53"/>
      <c r="M15" s="53"/>
      <c r="N15" s="53"/>
      <c r="O15" s="53"/>
      <c r="P15" s="66"/>
      <c r="Q15" s="65" t="s">
        <v>70</v>
      </c>
      <c r="R15" s="65" t="s">
        <v>69</v>
      </c>
      <c r="S15" s="65"/>
      <c r="T15" s="53">
        <v>5.5</v>
      </c>
      <c r="U15" s="53">
        <v>5.5</v>
      </c>
      <c r="V15" s="56">
        <f t="shared" si="5"/>
        <v>387</v>
      </c>
      <c r="W15" s="43">
        <v>92</v>
      </c>
      <c r="X15" s="42"/>
      <c r="Y15" s="42"/>
      <c r="Z15" s="42"/>
      <c r="AA15" s="42"/>
      <c r="AB15" s="42"/>
      <c r="AC15" s="42">
        <v>295</v>
      </c>
      <c r="AD15" s="41"/>
      <c r="AE15" s="41"/>
      <c r="AF15" s="41"/>
      <c r="AG15" s="41"/>
      <c r="AH15" s="41"/>
      <c r="AI15" s="41"/>
      <c r="AJ15" s="41"/>
      <c r="AK15" s="34"/>
      <c r="AL15" s="33"/>
      <c r="AM15" s="1"/>
      <c r="BC15" s="1"/>
      <c r="BD15" s="1"/>
    </row>
    <row r="16" spans="1:56" ht="16.5" customHeight="1" x14ac:dyDescent="0.3">
      <c r="A16" s="85"/>
      <c r="B16" s="49" t="s">
        <v>737</v>
      </c>
      <c r="C16" s="48">
        <v>9</v>
      </c>
      <c r="D16" s="42" t="s">
        <v>682</v>
      </c>
      <c r="E16" s="47">
        <v>1</v>
      </c>
      <c r="F16" s="46"/>
      <c r="G16" s="45" t="s">
        <v>860</v>
      </c>
      <c r="H16" s="45" t="s">
        <v>859</v>
      </c>
      <c r="I16" s="45" t="s">
        <v>51</v>
      </c>
      <c r="J16" s="45" t="s">
        <v>607</v>
      </c>
      <c r="K16" s="64"/>
      <c r="L16" s="64"/>
      <c r="M16" s="64"/>
      <c r="N16" s="45"/>
      <c r="O16" s="45"/>
      <c r="P16" s="45"/>
      <c r="Q16" s="46"/>
      <c r="R16" s="46"/>
      <c r="S16" s="46"/>
      <c r="T16" s="53" t="s">
        <v>90</v>
      </c>
      <c r="U16" s="53" t="s">
        <v>90</v>
      </c>
      <c r="V16" s="42">
        <f t="shared" si="5"/>
        <v>160</v>
      </c>
      <c r="W16" s="43"/>
      <c r="X16" s="42">
        <v>158</v>
      </c>
      <c r="Y16" s="42"/>
      <c r="Z16" s="42"/>
      <c r="AA16" s="42">
        <v>2</v>
      </c>
      <c r="AB16" s="42"/>
      <c r="AC16" s="42"/>
      <c r="AD16" s="41"/>
      <c r="AE16" s="41"/>
      <c r="AF16" s="41"/>
      <c r="AG16" s="41"/>
      <c r="AH16" s="41"/>
      <c r="AI16" s="41"/>
      <c r="AJ16" s="41"/>
      <c r="AK16" s="34"/>
      <c r="AL16" s="33"/>
      <c r="AM16" s="1"/>
      <c r="BC16" s="1"/>
      <c r="BD16" s="1"/>
    </row>
    <row r="17" spans="1:54" s="1" customFormat="1" ht="16.5" customHeight="1" x14ac:dyDescent="0.3">
      <c r="A17" s="85"/>
      <c r="B17" s="49" t="s">
        <v>737</v>
      </c>
      <c r="C17" s="48">
        <v>10</v>
      </c>
      <c r="D17" s="42" t="s">
        <v>685</v>
      </c>
      <c r="E17" s="47">
        <v>1.3</v>
      </c>
      <c r="F17" s="46"/>
      <c r="G17" s="45" t="s">
        <v>858</v>
      </c>
      <c r="H17" s="45" t="s">
        <v>857</v>
      </c>
      <c r="I17" s="45"/>
      <c r="J17" s="45"/>
      <c r="K17" s="45"/>
      <c r="L17" s="45"/>
      <c r="M17" s="45"/>
      <c r="N17" s="45"/>
      <c r="O17" s="45"/>
      <c r="P17" s="45"/>
      <c r="Q17" s="46"/>
      <c r="R17" s="46"/>
      <c r="S17" s="46"/>
      <c r="T17" s="45" t="s">
        <v>133</v>
      </c>
      <c r="U17" s="45">
        <v>2</v>
      </c>
      <c r="V17" s="42">
        <f t="shared" si="5"/>
        <v>225</v>
      </c>
      <c r="W17" s="43"/>
      <c r="X17" s="42">
        <v>225</v>
      </c>
      <c r="Y17" s="42"/>
      <c r="Z17" s="42"/>
      <c r="AA17" s="42"/>
      <c r="AB17" s="42"/>
      <c r="AC17" s="42"/>
      <c r="AD17" s="41"/>
      <c r="AE17" s="41"/>
      <c r="AF17" s="41"/>
      <c r="AG17" s="41"/>
      <c r="AH17" s="41"/>
      <c r="AI17" s="41"/>
      <c r="AJ17" s="41"/>
      <c r="AK17" s="34"/>
      <c r="AL17" s="33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</row>
    <row r="18" spans="1:54" s="1" customFormat="1" ht="16.5" customHeight="1" x14ac:dyDescent="0.3">
      <c r="A18" s="85"/>
      <c r="B18" s="49" t="s">
        <v>737</v>
      </c>
      <c r="C18" s="48">
        <v>11</v>
      </c>
      <c r="D18" s="42" t="s">
        <v>856</v>
      </c>
      <c r="E18" s="47">
        <v>1.3</v>
      </c>
      <c r="F18" s="63"/>
      <c r="G18" s="45" t="s">
        <v>686</v>
      </c>
      <c r="H18" s="45" t="s">
        <v>855</v>
      </c>
      <c r="I18" s="45" t="s">
        <v>51</v>
      </c>
      <c r="J18" s="45" t="s">
        <v>607</v>
      </c>
      <c r="K18" s="45"/>
      <c r="L18" s="45"/>
      <c r="M18" s="45"/>
      <c r="N18" s="45" t="s">
        <v>51</v>
      </c>
      <c r="O18" s="45"/>
      <c r="P18" s="41"/>
      <c r="Q18" s="41"/>
      <c r="R18" s="63"/>
      <c r="S18" s="63"/>
      <c r="T18" s="45">
        <v>2</v>
      </c>
      <c r="U18" s="45">
        <v>3</v>
      </c>
      <c r="V18" s="42">
        <f t="shared" si="5"/>
        <v>73</v>
      </c>
      <c r="W18" s="43">
        <v>73</v>
      </c>
      <c r="X18" s="42"/>
      <c r="Y18" s="42"/>
      <c r="Z18" s="42"/>
      <c r="AA18" s="42"/>
      <c r="AB18" s="42"/>
      <c r="AC18" s="42"/>
      <c r="AD18" s="41"/>
      <c r="AE18" s="41"/>
      <c r="AF18" s="41"/>
      <c r="AG18" s="41"/>
      <c r="AH18" s="41"/>
      <c r="AI18" s="41"/>
      <c r="AJ18" s="41"/>
      <c r="AK18" s="34"/>
      <c r="AL18" s="33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</row>
    <row r="19" spans="1:54" s="1" customFormat="1" ht="16.5" customHeight="1" x14ac:dyDescent="0.3">
      <c r="A19" s="85"/>
      <c r="B19" s="49" t="s">
        <v>737</v>
      </c>
      <c r="C19" s="48">
        <v>12</v>
      </c>
      <c r="D19" s="42" t="s">
        <v>854</v>
      </c>
      <c r="E19" s="47">
        <v>1.5</v>
      </c>
      <c r="F19" s="46"/>
      <c r="G19" s="45" t="s">
        <v>853</v>
      </c>
      <c r="H19" s="45" t="s">
        <v>852</v>
      </c>
      <c r="I19" s="45" t="s">
        <v>51</v>
      </c>
      <c r="J19" s="45" t="s">
        <v>521</v>
      </c>
      <c r="K19" s="45"/>
      <c r="L19" s="45"/>
      <c r="M19" s="45"/>
      <c r="N19" s="45" t="s">
        <v>51</v>
      </c>
      <c r="O19" s="45"/>
      <c r="P19" s="45"/>
      <c r="Q19" s="46"/>
      <c r="R19" s="46"/>
      <c r="S19" s="46"/>
      <c r="T19" s="45" t="s">
        <v>605</v>
      </c>
      <c r="U19" s="45" t="s">
        <v>479</v>
      </c>
      <c r="V19" s="42">
        <f t="shared" si="5"/>
        <v>171</v>
      </c>
      <c r="W19" s="43">
        <v>1</v>
      </c>
      <c r="X19" s="42">
        <v>170</v>
      </c>
      <c r="Y19" s="42"/>
      <c r="Z19" s="42"/>
      <c r="AA19" s="42"/>
      <c r="AB19" s="42"/>
      <c r="AC19" s="42"/>
      <c r="AD19" s="41"/>
      <c r="AE19" s="41"/>
      <c r="AF19" s="41"/>
      <c r="AG19" s="41"/>
      <c r="AH19" s="41"/>
      <c r="AI19" s="41"/>
      <c r="AJ19" s="41"/>
      <c r="AK19" s="34"/>
      <c r="AL19" s="33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</row>
    <row r="20" spans="1:54" s="1" customFormat="1" ht="16.5" customHeight="1" x14ac:dyDescent="0.3">
      <c r="A20" s="85"/>
      <c r="B20" s="49" t="s">
        <v>737</v>
      </c>
      <c r="C20" s="48">
        <v>13</v>
      </c>
      <c r="D20" s="42" t="s">
        <v>851</v>
      </c>
      <c r="E20" s="47">
        <v>1.3</v>
      </c>
      <c r="F20" s="46"/>
      <c r="G20" s="45" t="s">
        <v>850</v>
      </c>
      <c r="H20" s="45" t="s">
        <v>849</v>
      </c>
      <c r="I20" s="45" t="s">
        <v>51</v>
      </c>
      <c r="J20" s="45" t="s">
        <v>670</v>
      </c>
      <c r="K20" s="45"/>
      <c r="L20" s="45"/>
      <c r="M20" s="45"/>
      <c r="N20" s="45"/>
      <c r="O20" s="45"/>
      <c r="P20" s="45" t="s">
        <v>51</v>
      </c>
      <c r="Q20" s="46"/>
      <c r="R20" s="46"/>
      <c r="S20" s="46"/>
      <c r="T20" s="45" t="s">
        <v>90</v>
      </c>
      <c r="U20" s="45" t="s">
        <v>55</v>
      </c>
      <c r="V20" s="42">
        <f t="shared" si="5"/>
        <v>133</v>
      </c>
      <c r="W20" s="43">
        <v>114</v>
      </c>
      <c r="X20" s="42">
        <v>19</v>
      </c>
      <c r="Y20" s="42"/>
      <c r="Z20" s="42"/>
      <c r="AA20" s="42"/>
      <c r="AB20" s="42"/>
      <c r="AC20" s="42"/>
      <c r="AD20" s="41"/>
      <c r="AE20" s="41"/>
      <c r="AF20" s="41"/>
      <c r="AG20" s="41"/>
      <c r="AH20" s="41"/>
      <c r="AI20" s="41"/>
      <c r="AJ20" s="41"/>
      <c r="AK20" s="34"/>
      <c r="AL20" s="33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</row>
    <row r="21" spans="1:54" s="1" customFormat="1" ht="16.5" customHeight="1" x14ac:dyDescent="0.3">
      <c r="A21" s="85"/>
      <c r="B21" s="49" t="s">
        <v>737</v>
      </c>
      <c r="C21" s="48">
        <v>14</v>
      </c>
      <c r="D21" s="42" t="s">
        <v>848</v>
      </c>
      <c r="E21" s="47">
        <v>1</v>
      </c>
      <c r="F21" s="46"/>
      <c r="G21" s="45" t="s">
        <v>847</v>
      </c>
      <c r="H21" s="45" t="s">
        <v>846</v>
      </c>
      <c r="I21" s="45" t="s">
        <v>51</v>
      </c>
      <c r="J21" s="45" t="s">
        <v>607</v>
      </c>
      <c r="K21" s="45"/>
      <c r="L21" s="45"/>
      <c r="M21" s="45"/>
      <c r="N21" s="45"/>
      <c r="O21" s="45"/>
      <c r="P21" s="45"/>
      <c r="Q21" s="46"/>
      <c r="R21" s="46"/>
      <c r="S21" s="46"/>
      <c r="T21" s="45" t="s">
        <v>90</v>
      </c>
      <c r="U21" s="45" t="s">
        <v>90</v>
      </c>
      <c r="V21" s="42">
        <f t="shared" si="5"/>
        <v>137</v>
      </c>
      <c r="W21" s="43">
        <v>137</v>
      </c>
      <c r="X21" s="42"/>
      <c r="Y21" s="42"/>
      <c r="Z21" s="42"/>
      <c r="AA21" s="42"/>
      <c r="AB21" s="42"/>
      <c r="AC21" s="42"/>
      <c r="AD21" s="41"/>
      <c r="AE21" s="41"/>
      <c r="AF21" s="41"/>
      <c r="AG21" s="41"/>
      <c r="AH21" s="41"/>
      <c r="AI21" s="41"/>
      <c r="AJ21" s="41"/>
      <c r="AK21" s="34"/>
      <c r="AL21" s="33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</row>
    <row r="22" spans="1:54" s="1" customFormat="1" ht="16.5" customHeight="1" x14ac:dyDescent="0.3">
      <c r="A22" s="85"/>
      <c r="B22" s="49" t="s">
        <v>737</v>
      </c>
      <c r="C22" s="48">
        <v>15</v>
      </c>
      <c r="D22" s="42" t="s">
        <v>845</v>
      </c>
      <c r="E22" s="47">
        <v>0.2</v>
      </c>
      <c r="F22" s="46"/>
      <c r="G22" s="45" t="s">
        <v>844</v>
      </c>
      <c r="H22" s="45" t="s">
        <v>843</v>
      </c>
      <c r="I22" s="45"/>
      <c r="J22" s="45"/>
      <c r="K22" s="45"/>
      <c r="L22" s="45"/>
      <c r="M22" s="45"/>
      <c r="N22" s="45"/>
      <c r="O22" s="45"/>
      <c r="P22" s="45"/>
      <c r="Q22" s="46"/>
      <c r="R22" s="46"/>
      <c r="S22" s="46"/>
      <c r="T22" s="45" t="s">
        <v>842</v>
      </c>
      <c r="U22" s="45">
        <v>3</v>
      </c>
      <c r="V22" s="42">
        <f t="shared" si="5"/>
        <v>20</v>
      </c>
      <c r="W22" s="43">
        <v>17</v>
      </c>
      <c r="X22" s="42"/>
      <c r="Y22" s="42">
        <v>3</v>
      </c>
      <c r="Z22" s="42"/>
      <c r="AA22" s="42"/>
      <c r="AB22" s="42"/>
      <c r="AC22" s="42"/>
      <c r="AD22" s="41"/>
      <c r="AE22" s="41"/>
      <c r="AF22" s="41"/>
      <c r="AG22" s="41"/>
      <c r="AH22" s="41"/>
      <c r="AI22" s="41"/>
      <c r="AJ22" s="41"/>
      <c r="AK22" s="34"/>
      <c r="AL22" s="33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</row>
    <row r="23" spans="1:54" s="1" customFormat="1" ht="16.5" customHeight="1" x14ac:dyDescent="0.3">
      <c r="A23" s="85"/>
      <c r="B23" s="49" t="s">
        <v>737</v>
      </c>
      <c r="C23" s="48">
        <v>16</v>
      </c>
      <c r="D23" s="42" t="s">
        <v>841</v>
      </c>
      <c r="E23" s="47">
        <v>0.2</v>
      </c>
      <c r="F23" s="46"/>
      <c r="G23" s="45" t="s">
        <v>840</v>
      </c>
      <c r="H23" s="45" t="s">
        <v>839</v>
      </c>
      <c r="I23" s="45" t="s">
        <v>51</v>
      </c>
      <c r="J23" s="45" t="s">
        <v>670</v>
      </c>
      <c r="K23" s="45"/>
      <c r="L23" s="45"/>
      <c r="M23" s="45"/>
      <c r="N23" s="45"/>
      <c r="O23" s="45"/>
      <c r="P23" s="45"/>
      <c r="Q23" s="46"/>
      <c r="R23" s="46"/>
      <c r="S23" s="46" t="s">
        <v>51</v>
      </c>
      <c r="T23" s="45">
        <v>2.2999999999999998</v>
      </c>
      <c r="U23" s="45">
        <v>2.5</v>
      </c>
      <c r="V23" s="42">
        <f t="shared" si="5"/>
        <v>45</v>
      </c>
      <c r="W23" s="43">
        <v>45</v>
      </c>
      <c r="X23" s="42"/>
      <c r="Y23" s="42"/>
      <c r="Z23" s="42"/>
      <c r="AA23" s="42"/>
      <c r="AB23" s="42"/>
      <c r="AC23" s="42"/>
      <c r="AD23" s="41"/>
      <c r="AE23" s="41"/>
      <c r="AF23" s="41"/>
      <c r="AG23" s="41"/>
      <c r="AH23" s="41"/>
      <c r="AI23" s="41"/>
      <c r="AJ23" s="41"/>
      <c r="AK23" s="34"/>
      <c r="AL23" s="33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</row>
    <row r="24" spans="1:54" s="1" customFormat="1" ht="16.5" customHeight="1" x14ac:dyDescent="0.3">
      <c r="A24" s="85"/>
      <c r="B24" s="49" t="s">
        <v>737</v>
      </c>
      <c r="C24" s="48">
        <v>17</v>
      </c>
      <c r="D24" s="42" t="s">
        <v>838</v>
      </c>
      <c r="E24" s="47">
        <v>1.5</v>
      </c>
      <c r="F24" s="46"/>
      <c r="G24" s="45" t="s">
        <v>837</v>
      </c>
      <c r="H24" s="45" t="s">
        <v>836</v>
      </c>
      <c r="I24" s="45" t="s">
        <v>51</v>
      </c>
      <c r="J24" s="45" t="s">
        <v>691</v>
      </c>
      <c r="K24" s="45"/>
      <c r="L24" s="45"/>
      <c r="M24" s="45"/>
      <c r="N24" s="45"/>
      <c r="O24" s="45"/>
      <c r="P24" s="45"/>
      <c r="Q24" s="46"/>
      <c r="R24" s="46"/>
      <c r="S24" s="46"/>
      <c r="T24" s="45">
        <v>2</v>
      </c>
      <c r="U24" s="45">
        <v>2.5</v>
      </c>
      <c r="V24" s="42">
        <f t="shared" si="5"/>
        <v>105</v>
      </c>
      <c r="W24" s="43"/>
      <c r="X24" s="42"/>
      <c r="Y24" s="42"/>
      <c r="Z24" s="42"/>
      <c r="AA24" s="42"/>
      <c r="AB24" s="42">
        <v>105</v>
      </c>
      <c r="AC24" s="42"/>
      <c r="AD24" s="41"/>
      <c r="AE24" s="41"/>
      <c r="AF24" s="41"/>
      <c r="AG24" s="41"/>
      <c r="AH24" s="41"/>
      <c r="AI24" s="41"/>
      <c r="AJ24" s="41"/>
      <c r="AK24" s="34"/>
      <c r="AL24" s="33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</row>
    <row r="25" spans="1:54" s="1" customFormat="1" ht="16.5" customHeight="1" x14ac:dyDescent="0.3">
      <c r="A25" s="85"/>
      <c r="B25" s="49" t="s">
        <v>737</v>
      </c>
      <c r="C25" s="48">
        <v>18</v>
      </c>
      <c r="D25" s="42" t="s">
        <v>403</v>
      </c>
      <c r="E25" s="47">
        <v>5.6</v>
      </c>
      <c r="F25" s="46"/>
      <c r="G25" s="45" t="s">
        <v>835</v>
      </c>
      <c r="H25" s="45" t="s">
        <v>834</v>
      </c>
      <c r="I25" s="62" t="s">
        <v>51</v>
      </c>
      <c r="J25" s="62" t="s">
        <v>607</v>
      </c>
      <c r="K25" s="62"/>
      <c r="L25" s="62"/>
      <c r="M25" s="62"/>
      <c r="N25" s="62"/>
      <c r="O25" s="62"/>
      <c r="P25" s="62"/>
      <c r="Q25" s="61"/>
      <c r="R25" s="61"/>
      <c r="S25" s="61"/>
      <c r="T25" s="45" t="s">
        <v>479</v>
      </c>
      <c r="U25" s="45" t="s">
        <v>479</v>
      </c>
      <c r="V25" s="42">
        <f t="shared" si="5"/>
        <v>766</v>
      </c>
      <c r="W25" s="43"/>
      <c r="X25" s="42"/>
      <c r="Y25" s="42"/>
      <c r="Z25" s="42"/>
      <c r="AA25" s="42">
        <v>766</v>
      </c>
      <c r="AB25" s="42"/>
      <c r="AC25" s="42"/>
      <c r="AD25" s="41"/>
      <c r="AE25" s="41"/>
      <c r="AF25" s="41"/>
      <c r="AG25" s="41"/>
      <c r="AH25" s="41"/>
      <c r="AI25" s="41"/>
      <c r="AJ25" s="41"/>
      <c r="AK25" s="34"/>
      <c r="AL25" s="33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</row>
    <row r="26" spans="1:54" s="1" customFormat="1" ht="16.5" customHeight="1" x14ac:dyDescent="0.3">
      <c r="A26" s="85"/>
      <c r="B26" s="49" t="s">
        <v>737</v>
      </c>
      <c r="C26" s="48">
        <v>19</v>
      </c>
      <c r="D26" s="42" t="s">
        <v>515</v>
      </c>
      <c r="E26" s="47">
        <v>0.7</v>
      </c>
      <c r="F26" s="46"/>
      <c r="G26" s="45" t="s">
        <v>514</v>
      </c>
      <c r="H26" s="45" t="s">
        <v>833</v>
      </c>
      <c r="I26" s="45"/>
      <c r="J26" s="45"/>
      <c r="K26" s="45"/>
      <c r="L26" s="45"/>
      <c r="M26" s="45"/>
      <c r="N26" s="45" t="s">
        <v>51</v>
      </c>
      <c r="O26" s="45"/>
      <c r="P26" s="45"/>
      <c r="Q26" s="46"/>
      <c r="R26" s="46"/>
      <c r="S26" s="46"/>
      <c r="T26" s="45" t="s">
        <v>832</v>
      </c>
      <c r="U26" s="45" t="s">
        <v>219</v>
      </c>
      <c r="V26" s="42">
        <f t="shared" si="5"/>
        <v>149</v>
      </c>
      <c r="W26" s="43"/>
      <c r="X26" s="42"/>
      <c r="Y26" s="42"/>
      <c r="Z26" s="42"/>
      <c r="AA26" s="42"/>
      <c r="AB26" s="42">
        <v>149</v>
      </c>
      <c r="AC26" s="42"/>
      <c r="AD26" s="41"/>
      <c r="AE26" s="41"/>
      <c r="AF26" s="41"/>
      <c r="AG26" s="41"/>
      <c r="AH26" s="41"/>
      <c r="AI26" s="41"/>
      <c r="AJ26" s="41"/>
      <c r="AK26" s="34"/>
      <c r="AL26" s="33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</row>
    <row r="27" spans="1:54" s="1" customFormat="1" ht="16.5" customHeight="1" x14ac:dyDescent="0.3">
      <c r="A27" s="85"/>
      <c r="B27" s="49" t="s">
        <v>737</v>
      </c>
      <c r="C27" s="48">
        <v>20</v>
      </c>
      <c r="D27" s="42" t="s">
        <v>831</v>
      </c>
      <c r="E27" s="47">
        <v>1</v>
      </c>
      <c r="F27" s="46"/>
      <c r="G27" s="45" t="s">
        <v>830</v>
      </c>
      <c r="H27" s="45" t="s">
        <v>829</v>
      </c>
      <c r="I27" s="45" t="s">
        <v>51</v>
      </c>
      <c r="J27" s="45" t="s">
        <v>691</v>
      </c>
      <c r="K27" s="45"/>
      <c r="L27" s="45"/>
      <c r="M27" s="45"/>
      <c r="N27" s="45"/>
      <c r="O27" s="45"/>
      <c r="P27" s="45"/>
      <c r="Q27" s="46"/>
      <c r="R27" s="46"/>
      <c r="S27" s="46"/>
      <c r="T27" s="45">
        <v>2</v>
      </c>
      <c r="U27" s="45">
        <v>2.6</v>
      </c>
      <c r="V27" s="42">
        <f t="shared" si="5"/>
        <v>31</v>
      </c>
      <c r="W27" s="43"/>
      <c r="X27" s="42"/>
      <c r="Y27" s="42"/>
      <c r="Z27" s="42"/>
      <c r="AA27" s="42"/>
      <c r="AB27" s="42">
        <v>31</v>
      </c>
      <c r="AC27" s="42"/>
      <c r="AD27" s="41"/>
      <c r="AE27" s="41"/>
      <c r="AF27" s="41"/>
      <c r="AG27" s="41"/>
      <c r="AH27" s="41"/>
      <c r="AI27" s="41"/>
      <c r="AJ27" s="41"/>
      <c r="AK27" s="34"/>
      <c r="AL27" s="33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</row>
    <row r="28" spans="1:54" s="1" customFormat="1" ht="16.5" customHeight="1" x14ac:dyDescent="0.3">
      <c r="A28" s="85"/>
      <c r="B28" s="49" t="s">
        <v>737</v>
      </c>
      <c r="C28" s="48">
        <v>21</v>
      </c>
      <c r="D28" s="42" t="s">
        <v>828</v>
      </c>
      <c r="E28" s="47">
        <v>0.8</v>
      </c>
      <c r="F28" s="46"/>
      <c r="G28" s="45" t="s">
        <v>827</v>
      </c>
      <c r="H28" s="45" t="s">
        <v>826</v>
      </c>
      <c r="I28" s="45" t="s">
        <v>51</v>
      </c>
      <c r="J28" s="45" t="s">
        <v>691</v>
      </c>
      <c r="K28" s="45"/>
      <c r="L28" s="45"/>
      <c r="M28" s="45"/>
      <c r="N28" s="45"/>
      <c r="O28" s="45"/>
      <c r="P28" s="45"/>
      <c r="Q28" s="46"/>
      <c r="R28" s="46"/>
      <c r="S28" s="46"/>
      <c r="T28" s="45" t="s">
        <v>133</v>
      </c>
      <c r="U28" s="45" t="s">
        <v>133</v>
      </c>
      <c r="V28" s="42">
        <f t="shared" si="5"/>
        <v>9</v>
      </c>
      <c r="W28" s="43"/>
      <c r="X28" s="42"/>
      <c r="Y28" s="42"/>
      <c r="Z28" s="42"/>
      <c r="AA28" s="42"/>
      <c r="AB28" s="42">
        <v>9</v>
      </c>
      <c r="AC28" s="42"/>
      <c r="AD28" s="41"/>
      <c r="AE28" s="41"/>
      <c r="AF28" s="41"/>
      <c r="AG28" s="41"/>
      <c r="AH28" s="41"/>
      <c r="AI28" s="41"/>
      <c r="AJ28" s="41"/>
      <c r="AK28" s="34"/>
      <c r="AL28" s="33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</row>
    <row r="29" spans="1:54" s="1" customFormat="1" ht="16.5" customHeight="1" x14ac:dyDescent="0.3">
      <c r="A29" s="85"/>
      <c r="B29" s="49" t="s">
        <v>737</v>
      </c>
      <c r="C29" s="48">
        <v>22</v>
      </c>
      <c r="D29" s="42" t="s">
        <v>825</v>
      </c>
      <c r="E29" s="47">
        <v>3.2</v>
      </c>
      <c r="F29" s="46"/>
      <c r="G29" s="45" t="s">
        <v>824</v>
      </c>
      <c r="H29" s="45" t="s">
        <v>823</v>
      </c>
      <c r="I29" s="45"/>
      <c r="J29" s="45"/>
      <c r="K29" s="45"/>
      <c r="L29" s="45"/>
      <c r="M29" s="45"/>
      <c r="N29" s="45"/>
      <c r="O29" s="45"/>
      <c r="P29" s="45"/>
      <c r="Q29" s="46"/>
      <c r="R29" s="46"/>
      <c r="S29" s="46"/>
      <c r="T29" s="45"/>
      <c r="U29" s="45"/>
      <c r="V29" s="42">
        <f t="shared" si="5"/>
        <v>153</v>
      </c>
      <c r="W29" s="43"/>
      <c r="X29" s="42"/>
      <c r="Y29" s="42"/>
      <c r="Z29" s="42"/>
      <c r="AA29" s="42"/>
      <c r="AB29" s="42">
        <v>153</v>
      </c>
      <c r="AC29" s="42"/>
      <c r="AD29" s="41"/>
      <c r="AE29" s="41"/>
      <c r="AF29" s="41"/>
      <c r="AG29" s="41"/>
      <c r="AH29" s="41"/>
      <c r="AI29" s="41"/>
      <c r="AJ29" s="41"/>
      <c r="AK29" s="34"/>
      <c r="AL29" s="33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</row>
    <row r="30" spans="1:54" s="1" customFormat="1" ht="16.5" customHeight="1" x14ac:dyDescent="0.3">
      <c r="A30" s="85"/>
      <c r="B30" s="49" t="s">
        <v>737</v>
      </c>
      <c r="C30" s="48">
        <v>23</v>
      </c>
      <c r="D30" s="42" t="s">
        <v>822</v>
      </c>
      <c r="E30" s="47">
        <v>1.6</v>
      </c>
      <c r="F30" s="46"/>
      <c r="G30" s="45" t="s">
        <v>821</v>
      </c>
      <c r="H30" s="45" t="s">
        <v>820</v>
      </c>
      <c r="I30" s="45"/>
      <c r="J30" s="45"/>
      <c r="K30" s="45"/>
      <c r="L30" s="45"/>
      <c r="M30" s="45"/>
      <c r="N30" s="45"/>
      <c r="O30" s="45"/>
      <c r="P30" s="45"/>
      <c r="Q30" s="46"/>
      <c r="R30" s="46"/>
      <c r="S30" s="46"/>
      <c r="T30" s="45" t="s">
        <v>90</v>
      </c>
      <c r="U30" s="45" t="s">
        <v>90</v>
      </c>
      <c r="V30" s="42">
        <f t="shared" si="5"/>
        <v>298</v>
      </c>
      <c r="W30" s="43"/>
      <c r="X30" s="42"/>
      <c r="Y30" s="42"/>
      <c r="Z30" s="42"/>
      <c r="AA30" s="42">
        <v>298</v>
      </c>
      <c r="AB30" s="42"/>
      <c r="AC30" s="42"/>
      <c r="AD30" s="41"/>
      <c r="AE30" s="41"/>
      <c r="AF30" s="41"/>
      <c r="AG30" s="41"/>
      <c r="AH30" s="41"/>
      <c r="AI30" s="41"/>
      <c r="AJ30" s="41"/>
      <c r="AK30" s="34"/>
      <c r="AL30" s="33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</row>
    <row r="31" spans="1:54" s="1" customFormat="1" ht="16.5" customHeight="1" x14ac:dyDescent="0.3">
      <c r="A31" s="85"/>
      <c r="B31" s="49" t="s">
        <v>737</v>
      </c>
      <c r="C31" s="48">
        <v>24</v>
      </c>
      <c r="D31" s="42" t="s">
        <v>819</v>
      </c>
      <c r="E31" s="47">
        <v>0.5</v>
      </c>
      <c r="F31" s="46"/>
      <c r="G31" s="45" t="s">
        <v>818</v>
      </c>
      <c r="H31" s="45" t="s">
        <v>817</v>
      </c>
      <c r="I31" s="45"/>
      <c r="J31" s="45"/>
      <c r="K31" s="45"/>
      <c r="L31" s="45"/>
      <c r="M31" s="45"/>
      <c r="N31" s="45"/>
      <c r="O31" s="45"/>
      <c r="P31" s="45"/>
      <c r="Q31" s="46"/>
      <c r="R31" s="46"/>
      <c r="S31" s="46"/>
      <c r="T31" s="45">
        <v>2.5</v>
      </c>
      <c r="U31" s="45">
        <v>2.5</v>
      </c>
      <c r="V31" s="42">
        <f t="shared" si="5"/>
        <v>71</v>
      </c>
      <c r="W31" s="43"/>
      <c r="X31" s="42"/>
      <c r="Y31" s="42"/>
      <c r="Z31" s="42"/>
      <c r="AA31" s="42"/>
      <c r="AB31" s="42"/>
      <c r="AC31" s="42">
        <v>71</v>
      </c>
      <c r="AD31" s="41"/>
      <c r="AE31" s="41"/>
      <c r="AF31" s="41"/>
      <c r="AG31" s="41"/>
      <c r="AH31" s="41"/>
      <c r="AI31" s="41"/>
      <c r="AJ31" s="41"/>
      <c r="AK31" s="34"/>
      <c r="AL31" s="33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</row>
    <row r="32" spans="1:54" s="1" customFormat="1" ht="16.5" customHeight="1" x14ac:dyDescent="0.3">
      <c r="A32" s="85"/>
      <c r="B32" s="49" t="s">
        <v>737</v>
      </c>
      <c r="C32" s="48">
        <v>25</v>
      </c>
      <c r="D32" s="42" t="s">
        <v>816</v>
      </c>
      <c r="E32" s="47">
        <v>0.2</v>
      </c>
      <c r="F32" s="46"/>
      <c r="G32" s="45" t="s">
        <v>815</v>
      </c>
      <c r="H32" s="45" t="s">
        <v>814</v>
      </c>
      <c r="I32" s="45"/>
      <c r="J32" s="45"/>
      <c r="K32" s="45"/>
      <c r="L32" s="45"/>
      <c r="M32" s="45"/>
      <c r="N32" s="45"/>
      <c r="O32" s="45"/>
      <c r="P32" s="45"/>
      <c r="Q32" s="46"/>
      <c r="R32" s="46"/>
      <c r="S32" s="46"/>
      <c r="T32" s="45" t="s">
        <v>665</v>
      </c>
      <c r="U32" s="45" t="s">
        <v>605</v>
      </c>
      <c r="V32" s="42">
        <f t="shared" si="5"/>
        <v>8</v>
      </c>
      <c r="W32" s="43"/>
      <c r="X32" s="42"/>
      <c r="Y32" s="42"/>
      <c r="Z32" s="42"/>
      <c r="AA32" s="42">
        <f>7+1</f>
        <v>8</v>
      </c>
      <c r="AB32" s="42"/>
      <c r="AC32" s="42"/>
      <c r="AD32" s="41"/>
      <c r="AE32" s="41"/>
      <c r="AF32" s="41"/>
      <c r="AG32" s="41"/>
      <c r="AH32" s="41"/>
      <c r="AI32" s="41"/>
      <c r="AJ32" s="41"/>
      <c r="AK32" s="34"/>
      <c r="AL32" s="33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</row>
    <row r="33" spans="1:54" s="1" customFormat="1" ht="16.5" customHeight="1" x14ac:dyDescent="0.3">
      <c r="A33" s="85"/>
      <c r="B33" s="49" t="s">
        <v>737</v>
      </c>
      <c r="C33" s="48">
        <v>26</v>
      </c>
      <c r="D33" s="42" t="s">
        <v>813</v>
      </c>
      <c r="E33" s="47">
        <v>0.4</v>
      </c>
      <c r="F33" s="46"/>
      <c r="G33" s="45" t="s">
        <v>812</v>
      </c>
      <c r="H33" s="45" t="s">
        <v>811</v>
      </c>
      <c r="I33" s="45"/>
      <c r="J33" s="45"/>
      <c r="K33" s="45"/>
      <c r="L33" s="45"/>
      <c r="M33" s="45"/>
      <c r="N33" s="45"/>
      <c r="O33" s="45"/>
      <c r="P33" s="45"/>
      <c r="Q33" s="46"/>
      <c r="R33" s="46"/>
      <c r="S33" s="46"/>
      <c r="T33" s="45" t="s">
        <v>774</v>
      </c>
      <c r="U33" s="45" t="s">
        <v>810</v>
      </c>
      <c r="V33" s="42">
        <f t="shared" si="5"/>
        <v>82</v>
      </c>
      <c r="W33" s="43"/>
      <c r="X33" s="42"/>
      <c r="Y33" s="42"/>
      <c r="Z33" s="42"/>
      <c r="AA33" s="42">
        <v>82</v>
      </c>
      <c r="AB33" s="42"/>
      <c r="AC33" s="42"/>
      <c r="AD33" s="41"/>
      <c r="AE33" s="41"/>
      <c r="AF33" s="41"/>
      <c r="AG33" s="41"/>
      <c r="AH33" s="41"/>
      <c r="AI33" s="41"/>
      <c r="AJ33" s="41"/>
      <c r="AK33" s="34"/>
      <c r="AL33" s="33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</row>
    <row r="34" spans="1:54" s="1" customFormat="1" ht="16.5" customHeight="1" x14ac:dyDescent="0.3">
      <c r="A34" s="85"/>
      <c r="B34" s="49" t="s">
        <v>737</v>
      </c>
      <c r="C34" s="48">
        <v>27</v>
      </c>
      <c r="D34" s="42" t="s">
        <v>809</v>
      </c>
      <c r="E34" s="47">
        <v>0.2</v>
      </c>
      <c r="F34" s="46"/>
      <c r="G34" s="45" t="s">
        <v>808</v>
      </c>
      <c r="H34" s="45" t="s">
        <v>807</v>
      </c>
      <c r="I34" s="45"/>
      <c r="J34" s="45"/>
      <c r="K34" s="45"/>
      <c r="L34" s="45"/>
      <c r="M34" s="45"/>
      <c r="N34" s="45"/>
      <c r="O34" s="45"/>
      <c r="P34" s="45"/>
      <c r="Q34" s="46"/>
      <c r="R34" s="46"/>
      <c r="S34" s="46"/>
      <c r="T34" s="45">
        <v>3</v>
      </c>
      <c r="U34" s="45">
        <v>3</v>
      </c>
      <c r="V34" s="42">
        <f t="shared" si="5"/>
        <v>36</v>
      </c>
      <c r="W34" s="43"/>
      <c r="X34" s="42"/>
      <c r="Y34" s="42"/>
      <c r="Z34" s="42"/>
      <c r="AA34" s="42">
        <v>36</v>
      </c>
      <c r="AB34" s="42"/>
      <c r="AC34" s="42"/>
      <c r="AD34" s="41"/>
      <c r="AE34" s="41"/>
      <c r="AF34" s="41"/>
      <c r="AG34" s="41"/>
      <c r="AH34" s="41"/>
      <c r="AI34" s="41"/>
      <c r="AJ34" s="41"/>
      <c r="AK34" s="34"/>
      <c r="AL34" s="33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</row>
    <row r="35" spans="1:54" s="1" customFormat="1" ht="16.5" customHeight="1" x14ac:dyDescent="0.3">
      <c r="A35" s="85"/>
      <c r="B35" s="49" t="s">
        <v>737</v>
      </c>
      <c r="C35" s="48">
        <v>28</v>
      </c>
      <c r="D35" s="42" t="s">
        <v>806</v>
      </c>
      <c r="E35" s="47">
        <v>0.6</v>
      </c>
      <c r="F35" s="46"/>
      <c r="G35" s="45" t="s">
        <v>805</v>
      </c>
      <c r="H35" s="45" t="s">
        <v>804</v>
      </c>
      <c r="I35" s="45"/>
      <c r="J35" s="45"/>
      <c r="K35" s="45"/>
      <c r="L35" s="45"/>
      <c r="M35" s="45"/>
      <c r="N35" s="45"/>
      <c r="O35" s="45"/>
      <c r="P35" s="45"/>
      <c r="Q35" s="46"/>
      <c r="R35" s="46"/>
      <c r="S35" s="46"/>
      <c r="T35" s="45">
        <v>1.8</v>
      </c>
      <c r="U35" s="45">
        <v>3</v>
      </c>
      <c r="V35" s="42">
        <f t="shared" si="5"/>
        <v>12</v>
      </c>
      <c r="W35" s="43"/>
      <c r="X35" s="42"/>
      <c r="Y35" s="42"/>
      <c r="Z35" s="42"/>
      <c r="AA35" s="42">
        <v>12</v>
      </c>
      <c r="AB35" s="42"/>
      <c r="AC35" s="42"/>
      <c r="AD35" s="41"/>
      <c r="AE35" s="41"/>
      <c r="AF35" s="41"/>
      <c r="AG35" s="41"/>
      <c r="AH35" s="41"/>
      <c r="AI35" s="41"/>
      <c r="AJ35" s="41"/>
      <c r="AK35" s="34"/>
      <c r="AL35" s="33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</row>
    <row r="36" spans="1:54" s="1" customFormat="1" ht="16.5" customHeight="1" x14ac:dyDescent="0.3">
      <c r="A36" s="85"/>
      <c r="B36" s="49" t="s">
        <v>737</v>
      </c>
      <c r="C36" s="48">
        <v>29</v>
      </c>
      <c r="D36" s="42" t="s">
        <v>803</v>
      </c>
      <c r="E36" s="47">
        <v>0.4</v>
      </c>
      <c r="F36" s="46"/>
      <c r="G36" s="45" t="s">
        <v>802</v>
      </c>
      <c r="H36" s="45" t="s">
        <v>801</v>
      </c>
      <c r="I36" s="45"/>
      <c r="J36" s="45"/>
      <c r="K36" s="45"/>
      <c r="L36" s="45"/>
      <c r="M36" s="45"/>
      <c r="N36" s="45"/>
      <c r="O36" s="45"/>
      <c r="P36" s="45"/>
      <c r="Q36" s="46"/>
      <c r="R36" s="46"/>
      <c r="S36" s="46"/>
      <c r="T36" s="45">
        <v>2.9</v>
      </c>
      <c r="U36" s="45">
        <v>1.7</v>
      </c>
      <c r="V36" s="42">
        <f t="shared" si="5"/>
        <v>10</v>
      </c>
      <c r="W36" s="43"/>
      <c r="X36" s="42"/>
      <c r="Y36" s="42"/>
      <c r="Z36" s="42"/>
      <c r="AA36" s="42">
        <v>10</v>
      </c>
      <c r="AB36" s="42"/>
      <c r="AC36" s="42"/>
      <c r="AD36" s="41"/>
      <c r="AE36" s="41"/>
      <c r="AF36" s="41"/>
      <c r="AG36" s="41"/>
      <c r="AH36" s="41"/>
      <c r="AI36" s="41"/>
      <c r="AJ36" s="41"/>
      <c r="AK36" s="34"/>
      <c r="AL36" s="33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</row>
    <row r="37" spans="1:54" s="1" customFormat="1" ht="16.5" customHeight="1" x14ac:dyDescent="0.3">
      <c r="A37" s="85"/>
      <c r="B37" s="49" t="s">
        <v>737</v>
      </c>
      <c r="C37" s="48">
        <v>30</v>
      </c>
      <c r="D37" s="42" t="s">
        <v>800</v>
      </c>
      <c r="E37" s="47">
        <v>0.1</v>
      </c>
      <c r="F37" s="46"/>
      <c r="G37" s="45" t="s">
        <v>799</v>
      </c>
      <c r="H37" s="45" t="s">
        <v>798</v>
      </c>
      <c r="I37" s="45"/>
      <c r="J37" s="45"/>
      <c r="K37" s="45"/>
      <c r="L37" s="45"/>
      <c r="M37" s="45"/>
      <c r="N37" s="45"/>
      <c r="O37" s="45"/>
      <c r="P37" s="45"/>
      <c r="Q37" s="46"/>
      <c r="R37" s="46"/>
      <c r="S37" s="46"/>
      <c r="T37" s="45">
        <v>3</v>
      </c>
      <c r="U37" s="45">
        <v>3</v>
      </c>
      <c r="V37" s="42">
        <f t="shared" si="5"/>
        <v>11</v>
      </c>
      <c r="W37" s="43"/>
      <c r="X37" s="42"/>
      <c r="Y37" s="42"/>
      <c r="Z37" s="42"/>
      <c r="AA37" s="42">
        <v>11</v>
      </c>
      <c r="AB37" s="42"/>
      <c r="AC37" s="42"/>
      <c r="AD37" s="41"/>
      <c r="AE37" s="41"/>
      <c r="AF37" s="41"/>
      <c r="AG37" s="41"/>
      <c r="AH37" s="41"/>
      <c r="AI37" s="41"/>
      <c r="AJ37" s="41"/>
      <c r="AK37" s="34"/>
      <c r="AL37" s="33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</row>
    <row r="38" spans="1:54" s="1" customFormat="1" ht="16.5" customHeight="1" x14ac:dyDescent="0.3">
      <c r="A38" s="85"/>
      <c r="B38" s="49" t="s">
        <v>737</v>
      </c>
      <c r="C38" s="48">
        <v>31</v>
      </c>
      <c r="D38" s="42" t="s">
        <v>797</v>
      </c>
      <c r="E38" s="47">
        <v>0.5</v>
      </c>
      <c r="F38" s="46"/>
      <c r="G38" s="45" t="s">
        <v>796</v>
      </c>
      <c r="H38" s="45" t="s">
        <v>795</v>
      </c>
      <c r="I38" s="45"/>
      <c r="J38" s="45"/>
      <c r="K38" s="45"/>
      <c r="L38" s="45"/>
      <c r="M38" s="45"/>
      <c r="N38" s="45"/>
      <c r="O38" s="45"/>
      <c r="P38" s="45"/>
      <c r="Q38" s="46"/>
      <c r="R38" s="46"/>
      <c r="S38" s="46"/>
      <c r="T38" s="45">
        <v>2</v>
      </c>
      <c r="U38" s="45">
        <v>2.8</v>
      </c>
      <c r="V38" s="42">
        <f t="shared" si="5"/>
        <v>37</v>
      </c>
      <c r="W38" s="43"/>
      <c r="X38" s="42"/>
      <c r="Y38" s="42"/>
      <c r="Z38" s="42"/>
      <c r="AA38" s="42">
        <v>37</v>
      </c>
      <c r="AB38" s="42"/>
      <c r="AC38" s="42"/>
      <c r="AD38" s="41"/>
      <c r="AE38" s="41"/>
      <c r="AF38" s="41"/>
      <c r="AG38" s="41"/>
      <c r="AH38" s="41"/>
      <c r="AI38" s="41"/>
      <c r="AJ38" s="41"/>
      <c r="AK38" s="34"/>
      <c r="AL38" s="33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</row>
    <row r="39" spans="1:54" s="1" customFormat="1" ht="16.5" customHeight="1" x14ac:dyDescent="0.3">
      <c r="A39" s="85"/>
      <c r="B39" s="49" t="s">
        <v>737</v>
      </c>
      <c r="C39" s="48">
        <v>32</v>
      </c>
      <c r="D39" s="42" t="s">
        <v>794</v>
      </c>
      <c r="E39" s="47">
        <v>0.1</v>
      </c>
      <c r="F39" s="46"/>
      <c r="G39" s="45" t="s">
        <v>793</v>
      </c>
      <c r="H39" s="45" t="s">
        <v>792</v>
      </c>
      <c r="I39" s="45"/>
      <c r="J39" s="45"/>
      <c r="K39" s="45"/>
      <c r="L39" s="45"/>
      <c r="M39" s="45"/>
      <c r="N39" s="45"/>
      <c r="O39" s="45"/>
      <c r="P39" s="45"/>
      <c r="Q39" s="46"/>
      <c r="R39" s="46"/>
      <c r="S39" s="46"/>
      <c r="T39" s="45">
        <v>2.9</v>
      </c>
      <c r="U39" s="45">
        <v>2.4</v>
      </c>
      <c r="V39" s="42">
        <f t="shared" si="5"/>
        <v>3</v>
      </c>
      <c r="W39" s="43"/>
      <c r="X39" s="42"/>
      <c r="Y39" s="42"/>
      <c r="Z39" s="42"/>
      <c r="AA39" s="42">
        <v>3</v>
      </c>
      <c r="AB39" s="42"/>
      <c r="AC39" s="42"/>
      <c r="AD39" s="41"/>
      <c r="AE39" s="41"/>
      <c r="AF39" s="41"/>
      <c r="AG39" s="41"/>
      <c r="AH39" s="41"/>
      <c r="AI39" s="41"/>
      <c r="AJ39" s="41"/>
      <c r="AK39" s="34"/>
      <c r="AL39" s="33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</row>
    <row r="40" spans="1:54" s="1" customFormat="1" ht="16.5" customHeight="1" x14ac:dyDescent="0.3">
      <c r="A40" s="85"/>
      <c r="B40" s="49" t="s">
        <v>737</v>
      </c>
      <c r="C40" s="48">
        <v>33</v>
      </c>
      <c r="D40" s="42" t="s">
        <v>791</v>
      </c>
      <c r="E40" s="47">
        <v>0.3</v>
      </c>
      <c r="F40" s="46"/>
      <c r="G40" s="45" t="s">
        <v>790</v>
      </c>
      <c r="H40" s="45" t="s">
        <v>789</v>
      </c>
      <c r="I40" s="45"/>
      <c r="J40" s="45"/>
      <c r="K40" s="45"/>
      <c r="L40" s="45"/>
      <c r="M40" s="45"/>
      <c r="N40" s="45"/>
      <c r="O40" s="45"/>
      <c r="P40" s="45"/>
      <c r="Q40" s="46"/>
      <c r="R40" s="46"/>
      <c r="S40" s="46"/>
      <c r="T40" s="45">
        <v>3</v>
      </c>
      <c r="U40" s="45">
        <v>2.2999999999999998</v>
      </c>
      <c r="V40" s="42">
        <f t="shared" ref="V40:V71" si="6">SUM(W40:AL40)</f>
        <v>20</v>
      </c>
      <c r="W40" s="43"/>
      <c r="X40" s="42"/>
      <c r="Y40" s="42"/>
      <c r="Z40" s="42"/>
      <c r="AA40" s="42">
        <v>20</v>
      </c>
      <c r="AB40" s="42"/>
      <c r="AC40" s="42"/>
      <c r="AD40" s="41"/>
      <c r="AE40" s="41"/>
      <c r="AF40" s="41"/>
      <c r="AG40" s="41"/>
      <c r="AH40" s="41"/>
      <c r="AI40" s="41"/>
      <c r="AJ40" s="41"/>
      <c r="AK40" s="34"/>
      <c r="AL40" s="33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</row>
    <row r="41" spans="1:54" s="1" customFormat="1" ht="16.5" customHeight="1" x14ac:dyDescent="0.3">
      <c r="A41" s="85"/>
      <c r="B41" s="49" t="s">
        <v>737</v>
      </c>
      <c r="C41" s="48">
        <v>34</v>
      </c>
      <c r="D41" s="42" t="s">
        <v>788</v>
      </c>
      <c r="E41" s="47">
        <v>0.2</v>
      </c>
      <c r="F41" s="60"/>
      <c r="G41" s="47" t="s">
        <v>787</v>
      </c>
      <c r="H41" s="47" t="s">
        <v>786</v>
      </c>
      <c r="I41" s="45"/>
      <c r="J41" s="45"/>
      <c r="K41" s="45"/>
      <c r="L41" s="45"/>
      <c r="M41" s="45"/>
      <c r="N41" s="45"/>
      <c r="O41" s="45"/>
      <c r="P41" s="45"/>
      <c r="Q41" s="46"/>
      <c r="R41" s="46"/>
      <c r="S41" s="46"/>
      <c r="T41" s="47">
        <v>2.8</v>
      </c>
      <c r="U41" s="47">
        <v>1.7</v>
      </c>
      <c r="V41" s="42">
        <f t="shared" si="6"/>
        <v>32</v>
      </c>
      <c r="W41" s="43"/>
      <c r="X41" s="42"/>
      <c r="Y41" s="42"/>
      <c r="Z41" s="42"/>
      <c r="AA41" s="42">
        <v>32</v>
      </c>
      <c r="AB41" s="42"/>
      <c r="AC41" s="42"/>
      <c r="AD41" s="41"/>
      <c r="AE41" s="41"/>
      <c r="AF41" s="41"/>
      <c r="AG41" s="41"/>
      <c r="AH41" s="41"/>
      <c r="AI41" s="41"/>
      <c r="AJ41" s="41"/>
      <c r="AK41" s="34"/>
      <c r="AL41" s="33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</row>
    <row r="42" spans="1:54" s="1" customFormat="1" ht="16.5" customHeight="1" x14ac:dyDescent="0.3">
      <c r="A42" s="85"/>
      <c r="B42" s="49" t="s">
        <v>737</v>
      </c>
      <c r="C42" s="48">
        <v>35</v>
      </c>
      <c r="D42" s="42" t="s">
        <v>785</v>
      </c>
      <c r="E42" s="47" t="s">
        <v>784</v>
      </c>
      <c r="F42" s="60"/>
      <c r="G42" s="47" t="s">
        <v>783</v>
      </c>
      <c r="H42" s="47" t="s">
        <v>782</v>
      </c>
      <c r="I42" s="47"/>
      <c r="J42" s="47"/>
      <c r="K42" s="47"/>
      <c r="L42" s="47"/>
      <c r="M42" s="47"/>
      <c r="N42" s="47"/>
      <c r="O42" s="47"/>
      <c r="P42" s="47"/>
      <c r="Q42" s="60"/>
      <c r="R42" s="60"/>
      <c r="S42" s="60"/>
      <c r="T42" s="47">
        <v>2.56</v>
      </c>
      <c r="U42" s="47" t="s">
        <v>744</v>
      </c>
      <c r="V42" s="42">
        <f t="shared" si="6"/>
        <v>9</v>
      </c>
      <c r="W42" s="43"/>
      <c r="X42" s="42"/>
      <c r="Y42" s="42"/>
      <c r="Z42" s="42"/>
      <c r="AA42" s="42">
        <v>9</v>
      </c>
      <c r="AB42" s="42"/>
      <c r="AC42" s="42"/>
      <c r="AD42" s="41"/>
      <c r="AE42" s="41"/>
      <c r="AF42" s="41"/>
      <c r="AG42" s="41"/>
      <c r="AH42" s="41"/>
      <c r="AI42" s="41"/>
      <c r="AJ42" s="41"/>
      <c r="AK42" s="34"/>
      <c r="AL42" s="33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</row>
    <row r="43" spans="1:54" s="1" customFormat="1" ht="27.95" customHeight="1" x14ac:dyDescent="0.3">
      <c r="A43" s="85"/>
      <c r="B43" s="49" t="s">
        <v>737</v>
      </c>
      <c r="C43" s="48">
        <v>36</v>
      </c>
      <c r="D43" s="42" t="s">
        <v>781</v>
      </c>
      <c r="E43" s="47">
        <v>0.3</v>
      </c>
      <c r="F43" s="46"/>
      <c r="G43" s="45" t="s">
        <v>780</v>
      </c>
      <c r="H43" s="45" t="s">
        <v>779</v>
      </c>
      <c r="I43" s="47"/>
      <c r="J43" s="47"/>
      <c r="K43" s="47"/>
      <c r="L43" s="47"/>
      <c r="M43" s="47"/>
      <c r="N43" s="47"/>
      <c r="O43" s="47"/>
      <c r="P43" s="47"/>
      <c r="Q43" s="60"/>
      <c r="R43" s="60"/>
      <c r="S43" s="60"/>
      <c r="T43" s="45" t="s">
        <v>778</v>
      </c>
      <c r="U43" s="45" t="s">
        <v>18</v>
      </c>
      <c r="V43" s="42">
        <f t="shared" si="6"/>
        <v>14</v>
      </c>
      <c r="W43" s="43">
        <v>14</v>
      </c>
      <c r="X43" s="42"/>
      <c r="Y43" s="42"/>
      <c r="Z43" s="42"/>
      <c r="AA43" s="42"/>
      <c r="AB43" s="42"/>
      <c r="AC43" s="42"/>
      <c r="AD43" s="41"/>
      <c r="AE43" s="41"/>
      <c r="AF43" s="41"/>
      <c r="AG43" s="41"/>
      <c r="AH43" s="41"/>
      <c r="AI43" s="41"/>
      <c r="AJ43" s="41"/>
      <c r="AK43" s="34"/>
      <c r="AL43" s="33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</row>
    <row r="44" spans="1:54" s="1" customFormat="1" ht="16.5" customHeight="1" x14ac:dyDescent="0.3">
      <c r="A44" s="85"/>
      <c r="B44" s="49" t="s">
        <v>731</v>
      </c>
      <c r="C44" s="48">
        <v>37</v>
      </c>
      <c r="D44" s="42" t="s">
        <v>777</v>
      </c>
      <c r="E44" s="47">
        <v>4.2</v>
      </c>
      <c r="F44" s="46"/>
      <c r="G44" s="45" t="s">
        <v>776</v>
      </c>
      <c r="H44" s="45" t="s">
        <v>775</v>
      </c>
      <c r="I44" s="45" t="s">
        <v>51</v>
      </c>
      <c r="J44" s="45" t="s">
        <v>670</v>
      </c>
      <c r="K44" s="45"/>
      <c r="L44" s="45"/>
      <c r="M44" s="45"/>
      <c r="N44" s="45"/>
      <c r="O44" s="45"/>
      <c r="P44" s="45"/>
      <c r="Q44" s="46"/>
      <c r="R44" s="46"/>
      <c r="S44" s="46"/>
      <c r="T44" s="45" t="s">
        <v>774</v>
      </c>
      <c r="U44" s="45" t="s">
        <v>774</v>
      </c>
      <c r="V44" s="42">
        <f t="shared" si="6"/>
        <v>365</v>
      </c>
      <c r="W44" s="43"/>
      <c r="X44" s="42"/>
      <c r="Y44" s="42"/>
      <c r="Z44" s="42"/>
      <c r="AA44" s="42"/>
      <c r="AB44" s="42">
        <v>101</v>
      </c>
      <c r="AC44" s="42"/>
      <c r="AD44" s="41"/>
      <c r="AE44" s="41"/>
      <c r="AF44" s="41"/>
      <c r="AG44" s="59">
        <f>260+3+1</f>
        <v>264</v>
      </c>
      <c r="AH44" s="41"/>
      <c r="AI44" s="41"/>
      <c r="AJ44" s="41"/>
      <c r="AK44" s="34"/>
      <c r="AL44" s="33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</row>
    <row r="45" spans="1:54" s="1" customFormat="1" ht="16.5" customHeight="1" x14ac:dyDescent="0.3">
      <c r="A45" s="85"/>
      <c r="B45" s="49" t="s">
        <v>737</v>
      </c>
      <c r="C45" s="48">
        <v>38</v>
      </c>
      <c r="D45" s="42" t="s">
        <v>773</v>
      </c>
      <c r="E45" s="47">
        <v>2.2000000000000002</v>
      </c>
      <c r="F45" s="46" t="s">
        <v>224</v>
      </c>
      <c r="G45" s="45" t="s">
        <v>772</v>
      </c>
      <c r="H45" s="45" t="s">
        <v>771</v>
      </c>
      <c r="I45" s="45" t="s">
        <v>51</v>
      </c>
      <c r="J45" s="45" t="s">
        <v>691</v>
      </c>
      <c r="K45" s="45"/>
      <c r="L45" s="45"/>
      <c r="M45" s="45"/>
      <c r="N45" s="45"/>
      <c r="O45" s="45"/>
      <c r="P45" s="45"/>
      <c r="Q45" s="46"/>
      <c r="R45" s="46"/>
      <c r="S45" s="46"/>
      <c r="T45" s="45">
        <v>5.5</v>
      </c>
      <c r="U45" s="45">
        <v>5</v>
      </c>
      <c r="V45" s="42">
        <f t="shared" si="6"/>
        <v>413</v>
      </c>
      <c r="W45" s="43"/>
      <c r="X45" s="42"/>
      <c r="Y45" s="42"/>
      <c r="Z45" s="42"/>
      <c r="AA45" s="42">
        <v>413</v>
      </c>
      <c r="AB45" s="42"/>
      <c r="AC45" s="42"/>
      <c r="AD45" s="41"/>
      <c r="AE45" s="41"/>
      <c r="AF45" s="41"/>
      <c r="AG45" s="41"/>
      <c r="AH45" s="41"/>
      <c r="AI45" s="41"/>
      <c r="AJ45" s="41"/>
      <c r="AK45" s="34"/>
      <c r="AL45" s="33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</row>
    <row r="46" spans="1:54" s="1" customFormat="1" ht="16.5" customHeight="1" x14ac:dyDescent="0.3">
      <c r="A46" s="85"/>
      <c r="B46" s="49" t="s">
        <v>737</v>
      </c>
      <c r="C46" s="48">
        <v>39</v>
      </c>
      <c r="D46" s="42" t="s">
        <v>770</v>
      </c>
      <c r="E46" s="47">
        <v>0.9</v>
      </c>
      <c r="F46" s="46" t="s">
        <v>224</v>
      </c>
      <c r="G46" s="45" t="s">
        <v>769</v>
      </c>
      <c r="H46" s="45" t="s">
        <v>768</v>
      </c>
      <c r="I46" s="45"/>
      <c r="J46" s="45"/>
      <c r="K46" s="45"/>
      <c r="L46" s="45"/>
      <c r="M46" s="45"/>
      <c r="N46" s="45"/>
      <c r="O46" s="45"/>
      <c r="P46" s="45"/>
      <c r="Q46" s="46"/>
      <c r="R46" s="46"/>
      <c r="S46" s="46"/>
      <c r="T46" s="45" t="s">
        <v>767</v>
      </c>
      <c r="U46" s="45" t="s">
        <v>766</v>
      </c>
      <c r="V46" s="42">
        <f t="shared" si="6"/>
        <v>158</v>
      </c>
      <c r="W46" s="43">
        <v>31</v>
      </c>
      <c r="X46" s="42"/>
      <c r="Y46" s="42"/>
      <c r="Z46" s="42"/>
      <c r="AA46" s="42"/>
      <c r="AB46" s="42"/>
      <c r="AC46" s="42">
        <v>127</v>
      </c>
      <c r="AD46" s="41"/>
      <c r="AE46" s="41"/>
      <c r="AF46" s="41"/>
      <c r="AG46" s="41"/>
      <c r="AH46" s="41"/>
      <c r="AI46" s="41"/>
      <c r="AJ46" s="41"/>
      <c r="AK46" s="34"/>
      <c r="AL46" s="33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</row>
    <row r="47" spans="1:54" s="1" customFormat="1" ht="16.5" customHeight="1" x14ac:dyDescent="0.3">
      <c r="A47" s="85"/>
      <c r="B47" s="49" t="s">
        <v>737</v>
      </c>
      <c r="C47" s="48">
        <v>40</v>
      </c>
      <c r="D47" s="42" t="s">
        <v>765</v>
      </c>
      <c r="E47" s="47">
        <v>1.2</v>
      </c>
      <c r="F47" s="46"/>
      <c r="G47" s="45" t="s">
        <v>764</v>
      </c>
      <c r="H47" s="45" t="s">
        <v>763</v>
      </c>
      <c r="I47" s="45"/>
      <c r="J47" s="45"/>
      <c r="K47" s="45"/>
      <c r="L47" s="45"/>
      <c r="M47" s="45"/>
      <c r="N47" s="45"/>
      <c r="O47" s="45"/>
      <c r="P47" s="45" t="s">
        <v>51</v>
      </c>
      <c r="Q47" s="46"/>
      <c r="R47" s="46"/>
      <c r="S47" s="46"/>
      <c r="T47" s="45" t="s">
        <v>762</v>
      </c>
      <c r="U47" s="45" t="s">
        <v>761</v>
      </c>
      <c r="V47" s="42">
        <f t="shared" si="6"/>
        <v>239</v>
      </c>
      <c r="W47" s="43">
        <v>58</v>
      </c>
      <c r="X47" s="42"/>
      <c r="Y47" s="42"/>
      <c r="Z47" s="42"/>
      <c r="AA47" s="42">
        <v>181</v>
      </c>
      <c r="AB47" s="42"/>
      <c r="AC47" s="42"/>
      <c r="AD47" s="41"/>
      <c r="AE47" s="41"/>
      <c r="AF47" s="41"/>
      <c r="AG47" s="41"/>
      <c r="AH47" s="41"/>
      <c r="AI47" s="41"/>
      <c r="AJ47" s="41"/>
      <c r="AK47" s="34"/>
      <c r="AL47" s="33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</row>
    <row r="48" spans="1:54" s="1" customFormat="1" ht="16.5" customHeight="1" x14ac:dyDescent="0.3">
      <c r="A48" s="85"/>
      <c r="B48" s="49" t="s">
        <v>737</v>
      </c>
      <c r="C48" s="48">
        <v>41</v>
      </c>
      <c r="D48" s="42" t="s">
        <v>760</v>
      </c>
      <c r="E48" s="47">
        <v>1.1000000000000001</v>
      </c>
      <c r="F48" s="46"/>
      <c r="G48" s="45" t="s">
        <v>759</v>
      </c>
      <c r="H48" s="45" t="s">
        <v>758</v>
      </c>
      <c r="I48" s="45"/>
      <c r="J48" s="45"/>
      <c r="K48" s="45"/>
      <c r="L48" s="45"/>
      <c r="M48" s="45"/>
      <c r="N48" s="45"/>
      <c r="O48" s="45"/>
      <c r="P48" s="45"/>
      <c r="Q48" s="46"/>
      <c r="R48" s="46"/>
      <c r="S48" s="46"/>
      <c r="T48" s="45" t="s">
        <v>745</v>
      </c>
      <c r="U48" s="45" t="s">
        <v>745</v>
      </c>
      <c r="V48" s="42">
        <f t="shared" si="6"/>
        <v>261</v>
      </c>
      <c r="W48" s="43"/>
      <c r="X48" s="42"/>
      <c r="Y48" s="42"/>
      <c r="Z48" s="42"/>
      <c r="AA48" s="42">
        <v>261</v>
      </c>
      <c r="AB48" s="42"/>
      <c r="AC48" s="42"/>
      <c r="AD48" s="41"/>
      <c r="AE48" s="41"/>
      <c r="AF48" s="41"/>
      <c r="AG48" s="41"/>
      <c r="AH48" s="41"/>
      <c r="AI48" s="41"/>
      <c r="AJ48" s="41"/>
      <c r="AK48" s="34"/>
      <c r="AL48" s="33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</row>
    <row r="49" spans="1:54" s="1" customFormat="1" ht="16.5" customHeight="1" x14ac:dyDescent="0.3">
      <c r="A49" s="85"/>
      <c r="B49" s="49" t="s">
        <v>737</v>
      </c>
      <c r="C49" s="48">
        <v>42</v>
      </c>
      <c r="D49" s="42" t="s">
        <v>757</v>
      </c>
      <c r="E49" s="47">
        <v>1.3</v>
      </c>
      <c r="F49" s="46" t="s">
        <v>224</v>
      </c>
      <c r="G49" s="45" t="s">
        <v>756</v>
      </c>
      <c r="H49" s="45" t="s">
        <v>755</v>
      </c>
      <c r="I49" s="45"/>
      <c r="J49" s="45"/>
      <c r="K49" s="45"/>
      <c r="L49" s="45"/>
      <c r="M49" s="45"/>
      <c r="N49" s="45"/>
      <c r="O49" s="45"/>
      <c r="P49" s="45"/>
      <c r="Q49" s="46"/>
      <c r="R49" s="46"/>
      <c r="S49" s="46"/>
      <c r="T49" s="45">
        <v>5</v>
      </c>
      <c r="U49" s="45">
        <v>5</v>
      </c>
      <c r="V49" s="42">
        <f t="shared" si="6"/>
        <v>139</v>
      </c>
      <c r="W49" s="43"/>
      <c r="X49" s="42"/>
      <c r="Y49" s="42"/>
      <c r="Z49" s="42"/>
      <c r="AA49" s="42"/>
      <c r="AB49" s="42"/>
      <c r="AC49" s="42">
        <v>139</v>
      </c>
      <c r="AD49" s="41"/>
      <c r="AE49" s="41"/>
      <c r="AF49" s="41"/>
      <c r="AG49" s="41"/>
      <c r="AH49" s="41"/>
      <c r="AI49" s="41"/>
      <c r="AJ49" s="41"/>
      <c r="AK49" s="34"/>
      <c r="AL49" s="33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</row>
    <row r="50" spans="1:54" s="1" customFormat="1" ht="16.5" customHeight="1" x14ac:dyDescent="0.3">
      <c r="A50" s="85"/>
      <c r="B50" s="49" t="s">
        <v>737</v>
      </c>
      <c r="C50" s="48">
        <v>43</v>
      </c>
      <c r="D50" s="42" t="s">
        <v>754</v>
      </c>
      <c r="E50" s="47">
        <v>0.4</v>
      </c>
      <c r="F50" s="46" t="s">
        <v>224</v>
      </c>
      <c r="G50" s="45" t="s">
        <v>753</v>
      </c>
      <c r="H50" s="45" t="s">
        <v>752</v>
      </c>
      <c r="I50" s="45"/>
      <c r="J50" s="45"/>
      <c r="K50" s="45"/>
      <c r="L50" s="45"/>
      <c r="M50" s="45"/>
      <c r="N50" s="45"/>
      <c r="O50" s="45"/>
      <c r="P50" s="45"/>
      <c r="Q50" s="46"/>
      <c r="R50" s="46"/>
      <c r="S50" s="46"/>
      <c r="T50" s="45">
        <v>5.5</v>
      </c>
      <c r="U50" s="45">
        <v>5.5</v>
      </c>
      <c r="V50" s="42">
        <f t="shared" si="6"/>
        <v>50</v>
      </c>
      <c r="W50" s="43"/>
      <c r="X50" s="42"/>
      <c r="Y50" s="42"/>
      <c r="Z50" s="42"/>
      <c r="AA50" s="42"/>
      <c r="AB50" s="42"/>
      <c r="AC50" s="42">
        <v>50</v>
      </c>
      <c r="AD50" s="41"/>
      <c r="AE50" s="41"/>
      <c r="AF50" s="41"/>
      <c r="AG50" s="41"/>
      <c r="AH50" s="41"/>
      <c r="AI50" s="41"/>
      <c r="AJ50" s="41"/>
      <c r="AK50" s="34"/>
      <c r="AL50" s="33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</row>
    <row r="51" spans="1:54" s="1" customFormat="1" ht="16.5" customHeight="1" x14ac:dyDescent="0.3">
      <c r="A51" s="85"/>
      <c r="B51" s="49" t="s">
        <v>737</v>
      </c>
      <c r="C51" s="48">
        <v>44</v>
      </c>
      <c r="D51" s="42" t="s">
        <v>751</v>
      </c>
      <c r="E51" s="47">
        <v>0.8</v>
      </c>
      <c r="F51" s="46"/>
      <c r="G51" s="45" t="s">
        <v>750</v>
      </c>
      <c r="H51" s="45" t="s">
        <v>749</v>
      </c>
      <c r="I51" s="45"/>
      <c r="J51" s="45"/>
      <c r="K51" s="45"/>
      <c r="L51" s="45"/>
      <c r="M51" s="45"/>
      <c r="N51" s="45"/>
      <c r="O51" s="45"/>
      <c r="P51" s="45"/>
      <c r="Q51" s="46"/>
      <c r="R51" s="46"/>
      <c r="S51" s="46"/>
      <c r="T51" s="45">
        <v>4</v>
      </c>
      <c r="U51" s="45">
        <v>4</v>
      </c>
      <c r="V51" s="42">
        <f t="shared" si="6"/>
        <v>139</v>
      </c>
      <c r="W51" s="43"/>
      <c r="X51" s="42"/>
      <c r="Y51" s="42"/>
      <c r="Z51" s="42"/>
      <c r="AA51" s="42"/>
      <c r="AB51" s="42"/>
      <c r="AC51" s="42">
        <v>139</v>
      </c>
      <c r="AD51" s="41"/>
      <c r="AE51" s="41"/>
      <c r="AF51" s="41"/>
      <c r="AG51" s="41"/>
      <c r="AH51" s="41"/>
      <c r="AI51" s="41"/>
      <c r="AJ51" s="41"/>
      <c r="AK51" s="34"/>
      <c r="AL51" s="33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</row>
    <row r="52" spans="1:54" s="1" customFormat="1" ht="16.5" customHeight="1" x14ac:dyDescent="0.3">
      <c r="A52" s="85"/>
      <c r="B52" s="58" t="s">
        <v>737</v>
      </c>
      <c r="C52" s="57">
        <v>45</v>
      </c>
      <c r="D52" s="56" t="s">
        <v>748</v>
      </c>
      <c r="E52" s="55">
        <v>0.5</v>
      </c>
      <c r="F52" s="54"/>
      <c r="G52" s="53" t="s">
        <v>747</v>
      </c>
      <c r="H52" s="53" t="s">
        <v>746</v>
      </c>
      <c r="I52" s="53"/>
      <c r="J52" s="53"/>
      <c r="K52" s="53"/>
      <c r="L52" s="53"/>
      <c r="M52" s="53"/>
      <c r="N52" s="53"/>
      <c r="O52" s="53"/>
      <c r="P52" s="53"/>
      <c r="Q52" s="54"/>
      <c r="R52" s="54"/>
      <c r="S52" s="54"/>
      <c r="T52" s="53" t="s">
        <v>745</v>
      </c>
      <c r="U52" s="53" t="s">
        <v>744</v>
      </c>
      <c r="V52" s="56">
        <f t="shared" si="6"/>
        <v>44</v>
      </c>
      <c r="W52" s="43">
        <v>44</v>
      </c>
      <c r="X52" s="42"/>
      <c r="Y52" s="42"/>
      <c r="Z52" s="42"/>
      <c r="AA52" s="42"/>
      <c r="AB52" s="42"/>
      <c r="AC52" s="42"/>
      <c r="AD52" s="41"/>
      <c r="AE52" s="41"/>
      <c r="AF52" s="41"/>
      <c r="AG52" s="41"/>
      <c r="AH52" s="41"/>
      <c r="AI52" s="41"/>
      <c r="AJ52" s="41"/>
      <c r="AK52" s="34"/>
      <c r="AL52" s="33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</row>
    <row r="53" spans="1:54" s="1" customFormat="1" ht="16.5" customHeight="1" x14ac:dyDescent="0.3">
      <c r="A53" s="85"/>
      <c r="B53" s="58" t="s">
        <v>737</v>
      </c>
      <c r="C53" s="57">
        <v>46</v>
      </c>
      <c r="D53" s="56" t="s">
        <v>743</v>
      </c>
      <c r="E53" s="55">
        <v>0.3</v>
      </c>
      <c r="F53" s="54"/>
      <c r="G53" s="53" t="s">
        <v>742</v>
      </c>
      <c r="H53" s="53" t="s">
        <v>741</v>
      </c>
      <c r="I53" s="53"/>
      <c r="J53" s="53"/>
      <c r="K53" s="53"/>
      <c r="L53" s="53"/>
      <c r="M53" s="53"/>
      <c r="N53" s="53"/>
      <c r="O53" s="53"/>
      <c r="P53" s="53"/>
      <c r="Q53" s="54"/>
      <c r="R53" s="54"/>
      <c r="S53" s="54"/>
      <c r="T53" s="53">
        <v>2.5</v>
      </c>
      <c r="U53" s="53">
        <v>2.8</v>
      </c>
      <c r="V53" s="52">
        <f t="shared" si="6"/>
        <v>61</v>
      </c>
      <c r="W53" s="43">
        <v>61</v>
      </c>
      <c r="X53" s="42"/>
      <c r="Y53" s="42"/>
      <c r="Z53" s="42"/>
      <c r="AA53" s="42"/>
      <c r="AB53" s="42"/>
      <c r="AC53" s="42"/>
      <c r="AD53" s="41"/>
      <c r="AE53" s="41"/>
      <c r="AF53" s="41"/>
      <c r="AG53" s="41"/>
      <c r="AH53" s="41"/>
      <c r="AI53" s="41"/>
      <c r="AJ53" s="41"/>
      <c r="AK53" s="34"/>
      <c r="AL53" s="33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</row>
    <row r="54" spans="1:54" s="1" customFormat="1" ht="16.5" customHeight="1" x14ac:dyDescent="0.3">
      <c r="A54" s="85"/>
      <c r="B54" s="49" t="s">
        <v>737</v>
      </c>
      <c r="C54" s="48">
        <v>47</v>
      </c>
      <c r="D54" s="42" t="s">
        <v>740</v>
      </c>
      <c r="E54" s="47">
        <v>3.3</v>
      </c>
      <c r="F54" s="46"/>
      <c r="G54" s="45" t="s">
        <v>739</v>
      </c>
      <c r="H54" s="45" t="s">
        <v>738</v>
      </c>
      <c r="I54" s="45"/>
      <c r="J54" s="45"/>
      <c r="K54" s="45"/>
      <c r="L54" s="45"/>
      <c r="M54" s="45"/>
      <c r="N54" s="45"/>
      <c r="O54" s="45"/>
      <c r="P54" s="45"/>
      <c r="Q54" s="46"/>
      <c r="R54" s="46"/>
      <c r="S54" s="46"/>
      <c r="T54" s="45">
        <v>2.2999999999999998</v>
      </c>
      <c r="U54" s="45" t="s">
        <v>18</v>
      </c>
      <c r="V54" s="44">
        <f t="shared" si="6"/>
        <v>6</v>
      </c>
      <c r="W54" s="43">
        <v>6</v>
      </c>
      <c r="X54" s="42"/>
      <c r="Y54" s="42"/>
      <c r="Z54" s="42"/>
      <c r="AA54" s="42"/>
      <c r="AB54" s="42"/>
      <c r="AC54" s="42"/>
      <c r="AD54" s="41"/>
      <c r="AE54" s="41"/>
      <c r="AF54" s="41"/>
      <c r="AG54" s="41"/>
      <c r="AH54" s="41"/>
      <c r="AI54" s="41"/>
      <c r="AJ54" s="41"/>
      <c r="AK54" s="34"/>
      <c r="AL54" s="33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</row>
    <row r="55" spans="1:54" s="1" customFormat="1" ht="16.5" customHeight="1" x14ac:dyDescent="0.3">
      <c r="A55" s="85"/>
      <c r="B55" s="49" t="s">
        <v>737</v>
      </c>
      <c r="C55" s="48">
        <v>48</v>
      </c>
      <c r="D55" s="42" t="s">
        <v>736</v>
      </c>
      <c r="E55" s="47">
        <v>0.5</v>
      </c>
      <c r="F55" s="46"/>
      <c r="G55" s="45" t="s">
        <v>735</v>
      </c>
      <c r="H55" s="45" t="s">
        <v>734</v>
      </c>
      <c r="I55" s="45"/>
      <c r="J55" s="45"/>
      <c r="K55" s="45"/>
      <c r="L55" s="45"/>
      <c r="M55" s="45"/>
      <c r="N55" s="45"/>
      <c r="O55" s="45"/>
      <c r="P55" s="45"/>
      <c r="Q55" s="46"/>
      <c r="R55" s="46"/>
      <c r="S55" s="46"/>
      <c r="T55" s="45">
        <v>2.8</v>
      </c>
      <c r="U55" s="45">
        <v>2.8</v>
      </c>
      <c r="V55" s="44">
        <f t="shared" si="6"/>
        <v>149</v>
      </c>
      <c r="W55" s="43"/>
      <c r="X55" s="42"/>
      <c r="Y55" s="42"/>
      <c r="Z55" s="42"/>
      <c r="AA55" s="42"/>
      <c r="AB55" s="42">
        <v>70</v>
      </c>
      <c r="AC55" s="42">
        <v>79</v>
      </c>
      <c r="AD55" s="41"/>
      <c r="AE55" s="41"/>
      <c r="AF55" s="41"/>
      <c r="AG55" s="41"/>
      <c r="AH55" s="41"/>
      <c r="AI55" s="41"/>
      <c r="AJ55" s="41"/>
      <c r="AK55" s="34"/>
      <c r="AL55" s="33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</row>
    <row r="56" spans="1:54" s="1" customFormat="1" ht="16.5" customHeight="1" x14ac:dyDescent="0.3">
      <c r="A56" s="85"/>
      <c r="B56" s="49" t="s">
        <v>731</v>
      </c>
      <c r="C56" s="48">
        <v>49</v>
      </c>
      <c r="D56" s="42" t="s">
        <v>733</v>
      </c>
      <c r="E56" s="51">
        <v>0.03</v>
      </c>
      <c r="F56" s="46"/>
      <c r="G56" s="45" t="s">
        <v>732</v>
      </c>
      <c r="H56" s="45" t="s">
        <v>732</v>
      </c>
      <c r="I56" s="45"/>
      <c r="J56" s="45"/>
      <c r="K56" s="45"/>
      <c r="L56" s="45"/>
      <c r="M56" s="45"/>
      <c r="N56" s="45"/>
      <c r="O56" s="45"/>
      <c r="P56" s="45"/>
      <c r="Q56" s="46"/>
      <c r="R56" s="46"/>
      <c r="S56" s="46"/>
      <c r="T56" s="45">
        <v>2.8</v>
      </c>
      <c r="U56" s="45">
        <v>2.8</v>
      </c>
      <c r="V56" s="44">
        <f t="shared" si="6"/>
        <v>9</v>
      </c>
      <c r="W56" s="43"/>
      <c r="X56" s="42"/>
      <c r="Y56" s="42"/>
      <c r="Z56" s="42"/>
      <c r="AA56" s="42"/>
      <c r="AB56" s="42"/>
      <c r="AC56" s="42">
        <v>9</v>
      </c>
      <c r="AD56" s="41"/>
      <c r="AE56" s="41"/>
      <c r="AF56" s="41"/>
      <c r="AG56" s="41"/>
      <c r="AH56" s="41"/>
      <c r="AI56" s="41"/>
      <c r="AJ56" s="41"/>
      <c r="AK56" s="40"/>
      <c r="AL56" s="50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1:54" s="1" customFormat="1" ht="16.5" customHeight="1" x14ac:dyDescent="0.3">
      <c r="A57" s="86"/>
      <c r="B57" s="49" t="s">
        <v>731</v>
      </c>
      <c r="C57" s="48">
        <v>50</v>
      </c>
      <c r="D57" s="42" t="s">
        <v>730</v>
      </c>
      <c r="E57" s="47">
        <v>1.33</v>
      </c>
      <c r="F57" s="46"/>
      <c r="G57" s="45" t="s">
        <v>729</v>
      </c>
      <c r="H57" s="45" t="s">
        <v>728</v>
      </c>
      <c r="I57" s="45"/>
      <c r="J57" s="45"/>
      <c r="K57" s="45"/>
      <c r="L57" s="45"/>
      <c r="M57" s="45"/>
      <c r="N57" s="45"/>
      <c r="O57" s="45"/>
      <c r="P57" s="45"/>
      <c r="Q57" s="46"/>
      <c r="R57" s="46"/>
      <c r="S57" s="46"/>
      <c r="T57" s="45"/>
      <c r="U57" s="45"/>
      <c r="V57" s="44">
        <f t="shared" si="6"/>
        <v>202</v>
      </c>
      <c r="W57" s="43"/>
      <c r="X57" s="42"/>
      <c r="Y57" s="42"/>
      <c r="Z57" s="42"/>
      <c r="AA57" s="42"/>
      <c r="AB57" s="42"/>
      <c r="AC57" s="42">
        <v>202</v>
      </c>
      <c r="AD57" s="41"/>
      <c r="AE57" s="41"/>
      <c r="AF57" s="41"/>
      <c r="AG57" s="41"/>
      <c r="AH57" s="41"/>
      <c r="AI57" s="41"/>
      <c r="AJ57" s="41"/>
      <c r="AK57" s="40"/>
      <c r="AL57" s="39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</row>
    <row r="58" spans="1:54" s="24" customFormat="1" ht="16.5" customHeight="1" x14ac:dyDescent="0.3">
      <c r="A58" s="95" t="s">
        <v>727</v>
      </c>
      <c r="B58" s="31"/>
      <c r="C58" s="30"/>
      <c r="D58" s="26" t="s">
        <v>535</v>
      </c>
      <c r="E58" s="38">
        <f>SUM(E59:E117)</f>
        <v>77.560000000000045</v>
      </c>
      <c r="F58" s="26"/>
      <c r="G58" s="27"/>
      <c r="H58" s="27"/>
      <c r="I58" s="26">
        <f>COUNTA(I59:I111)</f>
        <v>14</v>
      </c>
      <c r="J58" s="26"/>
      <c r="K58" s="26">
        <f>COUNTA(K59:K111)</f>
        <v>0</v>
      </c>
      <c r="L58" s="26"/>
      <c r="M58" s="26"/>
      <c r="N58" s="26">
        <f>COUNTA(N59:N111)</f>
        <v>8</v>
      </c>
      <c r="O58" s="26">
        <f>COUNTA(O59:O111)</f>
        <v>2</v>
      </c>
      <c r="P58" s="26">
        <f>COUNTA(P59:P111)</f>
        <v>4</v>
      </c>
      <c r="Q58" s="26">
        <f>COUNTA(Q59:Q111)</f>
        <v>1</v>
      </c>
      <c r="R58" s="26"/>
      <c r="S58" s="26">
        <f>COUNTA(S59:S111)</f>
        <v>1</v>
      </c>
      <c r="T58" s="27"/>
      <c r="U58" s="27"/>
      <c r="V58" s="26">
        <f>SUM(V59:V117)</f>
        <v>5622</v>
      </c>
      <c r="W58" s="26">
        <f>SUM(W59:W111)</f>
        <v>1316</v>
      </c>
      <c r="X58" s="26">
        <f>SUM(X59:X111)</f>
        <v>541</v>
      </c>
      <c r="Y58" s="26">
        <f>SUM(Y59:Y111)</f>
        <v>277</v>
      </c>
      <c r="Z58" s="26">
        <f>SUM(Z59:Z111)</f>
        <v>0</v>
      </c>
      <c r="AA58" s="26">
        <f>SUM(AA59:AA117)</f>
        <v>1508</v>
      </c>
      <c r="AB58" s="26">
        <f>SUM(AB59:AB111)</f>
        <v>913</v>
      </c>
      <c r="AC58" s="26">
        <f>SUM(AC59:AC117)</f>
        <v>1001</v>
      </c>
      <c r="AD58" s="26">
        <f t="shared" ref="AD58:AL58" si="7">SUM(AD59:AD111)</f>
        <v>66</v>
      </c>
      <c r="AE58" s="26">
        <f t="shared" si="7"/>
        <v>0</v>
      </c>
      <c r="AF58" s="26">
        <f t="shared" si="7"/>
        <v>0</v>
      </c>
      <c r="AG58" s="26">
        <f t="shared" si="7"/>
        <v>0</v>
      </c>
      <c r="AH58" s="26">
        <f t="shared" si="7"/>
        <v>0</v>
      </c>
      <c r="AI58" s="26">
        <f t="shared" si="7"/>
        <v>0</v>
      </c>
      <c r="AJ58" s="26">
        <f t="shared" si="7"/>
        <v>0</v>
      </c>
      <c r="AK58" s="26">
        <f t="shared" si="7"/>
        <v>0</v>
      </c>
      <c r="AL58" s="26">
        <f t="shared" si="7"/>
        <v>0</v>
      </c>
      <c r="AO58" s="25">
        <f t="shared" ref="AO58:BA58" si="8">W58/$V58</f>
        <v>0.23408039843472073</v>
      </c>
      <c r="AP58" s="25">
        <f t="shared" si="8"/>
        <v>9.6229099964425469E-2</v>
      </c>
      <c r="AQ58" s="25">
        <f t="shared" si="8"/>
        <v>4.9270722162931338E-2</v>
      </c>
      <c r="AR58" s="25">
        <f t="shared" si="8"/>
        <v>0</v>
      </c>
      <c r="AS58" s="25">
        <f t="shared" si="8"/>
        <v>0.26823194592671645</v>
      </c>
      <c r="AT58" s="25">
        <f t="shared" si="8"/>
        <v>0.16239772323016721</v>
      </c>
      <c r="AU58" s="25">
        <f t="shared" si="8"/>
        <v>0.17805051583066525</v>
      </c>
      <c r="AV58" s="25">
        <f t="shared" si="8"/>
        <v>1.1739594450373533E-2</v>
      </c>
      <c r="AW58" s="25">
        <f t="shared" si="8"/>
        <v>0</v>
      </c>
      <c r="AX58" s="25">
        <f t="shared" si="8"/>
        <v>0</v>
      </c>
      <c r="AY58" s="25">
        <f t="shared" si="8"/>
        <v>0</v>
      </c>
      <c r="AZ58" s="25">
        <f t="shared" si="8"/>
        <v>0</v>
      </c>
      <c r="BA58" s="25">
        <f t="shared" si="8"/>
        <v>0</v>
      </c>
      <c r="BB58" s="25">
        <f>AL58/$V58</f>
        <v>0</v>
      </c>
    </row>
    <row r="59" spans="1:54" s="1" customFormat="1" ht="16.5" customHeight="1" x14ac:dyDescent="0.3">
      <c r="A59" s="95"/>
      <c r="B59" s="31" t="s">
        <v>540</v>
      </c>
      <c r="C59" s="30">
        <v>1</v>
      </c>
      <c r="D59" s="10" t="s">
        <v>726</v>
      </c>
      <c r="E59" s="18">
        <v>3.4</v>
      </c>
      <c r="F59" s="11"/>
      <c r="G59" s="11" t="s">
        <v>668</v>
      </c>
      <c r="H59" s="11" t="s">
        <v>725</v>
      </c>
      <c r="I59" s="11" t="s">
        <v>51</v>
      </c>
      <c r="J59" s="11" t="s">
        <v>607</v>
      </c>
      <c r="K59" s="11"/>
      <c r="L59" s="11"/>
      <c r="M59" s="11"/>
      <c r="N59" s="11" t="s">
        <v>51</v>
      </c>
      <c r="O59" s="11"/>
      <c r="P59" s="11"/>
      <c r="Q59" s="11"/>
      <c r="R59" s="11"/>
      <c r="S59" s="11"/>
      <c r="T59" s="11">
        <v>1.8</v>
      </c>
      <c r="U59" s="11" t="s">
        <v>724</v>
      </c>
      <c r="V59" s="10">
        <f t="shared" ref="V59:V90" si="9">SUM(W59:AL59)</f>
        <v>214</v>
      </c>
      <c r="W59" s="10">
        <v>115</v>
      </c>
      <c r="X59" s="10">
        <v>99</v>
      </c>
      <c r="Y59" s="10"/>
      <c r="Z59" s="10"/>
      <c r="AA59" s="10"/>
      <c r="AB59" s="10"/>
      <c r="AC59" s="10"/>
      <c r="AD59" s="10"/>
      <c r="AE59" s="5"/>
      <c r="AF59" s="5"/>
      <c r="AG59" s="5"/>
      <c r="AH59" s="5"/>
      <c r="AI59" s="5"/>
      <c r="AJ59" s="5"/>
      <c r="AK59" s="34"/>
      <c r="AL59" s="33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</row>
    <row r="60" spans="1:54" s="1" customFormat="1" ht="16.5" customHeight="1" x14ac:dyDescent="0.3">
      <c r="A60" s="95"/>
      <c r="B60" s="31" t="s">
        <v>540</v>
      </c>
      <c r="C60" s="30">
        <v>2</v>
      </c>
      <c r="D60" s="10" t="s">
        <v>723</v>
      </c>
      <c r="E60" s="18">
        <v>5.7</v>
      </c>
      <c r="F60" s="11"/>
      <c r="G60" s="11" t="s">
        <v>722</v>
      </c>
      <c r="H60" s="11" t="s">
        <v>721</v>
      </c>
      <c r="I60" s="11"/>
      <c r="J60" s="11"/>
      <c r="K60" s="11"/>
      <c r="L60" s="11"/>
      <c r="M60" s="11"/>
      <c r="N60" s="11" t="s">
        <v>51</v>
      </c>
      <c r="O60" s="11"/>
      <c r="P60" s="11"/>
      <c r="Q60" s="11"/>
      <c r="R60" s="11"/>
      <c r="S60" s="11"/>
      <c r="T60" s="11" t="s">
        <v>720</v>
      </c>
      <c r="U60" s="11" t="s">
        <v>719</v>
      </c>
      <c r="V60" s="10">
        <f t="shared" si="9"/>
        <v>608</v>
      </c>
      <c r="W60" s="10"/>
      <c r="X60" s="10"/>
      <c r="Y60" s="10"/>
      <c r="Z60" s="10"/>
      <c r="AA60" s="10">
        <v>608</v>
      </c>
      <c r="AB60" s="10"/>
      <c r="AC60" s="10"/>
      <c r="AD60" s="10"/>
      <c r="AE60" s="5"/>
      <c r="AF60" s="5"/>
      <c r="AG60" s="5"/>
      <c r="AH60" s="5"/>
      <c r="AI60" s="5"/>
      <c r="AJ60" s="5"/>
      <c r="AK60" s="34"/>
      <c r="AL60" s="33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1:54" s="36" customFormat="1" ht="17.25" customHeight="1" x14ac:dyDescent="0.3">
      <c r="A61" s="95"/>
      <c r="B61" s="31" t="s">
        <v>540</v>
      </c>
      <c r="C61" s="30">
        <v>3</v>
      </c>
      <c r="D61" s="10" t="s">
        <v>718</v>
      </c>
      <c r="E61" s="18">
        <v>4.5</v>
      </c>
      <c r="F61" s="11"/>
      <c r="G61" s="11" t="s">
        <v>717</v>
      </c>
      <c r="H61" s="11" t="s">
        <v>716</v>
      </c>
      <c r="I61" s="11" t="s">
        <v>51</v>
      </c>
      <c r="J61" s="11" t="s">
        <v>607</v>
      </c>
      <c r="K61" s="11"/>
      <c r="L61" s="11"/>
      <c r="M61" s="11"/>
      <c r="N61" s="11" t="s">
        <v>51</v>
      </c>
      <c r="O61" s="11"/>
      <c r="P61" s="11"/>
      <c r="Q61" s="11"/>
      <c r="R61" s="11"/>
      <c r="S61" s="11"/>
      <c r="T61" s="11">
        <v>4</v>
      </c>
      <c r="U61" s="11">
        <v>4</v>
      </c>
      <c r="V61" s="10">
        <f t="shared" si="9"/>
        <v>746</v>
      </c>
      <c r="W61" s="10">
        <v>682</v>
      </c>
      <c r="X61" s="10"/>
      <c r="Y61" s="10"/>
      <c r="Z61" s="10"/>
      <c r="AA61" s="10"/>
      <c r="AB61" s="10"/>
      <c r="AC61" s="10">
        <v>64</v>
      </c>
      <c r="AD61" s="10"/>
      <c r="AE61" s="5"/>
      <c r="AF61" s="5"/>
      <c r="AG61" s="5"/>
      <c r="AH61" s="5"/>
      <c r="AI61" s="5"/>
      <c r="AJ61" s="5"/>
      <c r="AK61" s="34"/>
      <c r="AL61" s="33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</row>
    <row r="62" spans="1:54" s="1" customFormat="1" ht="16.5" customHeight="1" x14ac:dyDescent="0.3">
      <c r="A62" s="95"/>
      <c r="B62" s="31" t="s">
        <v>540</v>
      </c>
      <c r="C62" s="30">
        <v>4</v>
      </c>
      <c r="D62" s="10" t="s">
        <v>715</v>
      </c>
      <c r="E62" s="18">
        <v>1.5</v>
      </c>
      <c r="F62" s="11"/>
      <c r="G62" s="11" t="s">
        <v>714</v>
      </c>
      <c r="H62" s="11" t="s">
        <v>713</v>
      </c>
      <c r="I62" s="11" t="s">
        <v>51</v>
      </c>
      <c r="J62" s="11" t="s">
        <v>521</v>
      </c>
      <c r="K62" s="11"/>
      <c r="L62" s="11"/>
      <c r="M62" s="11"/>
      <c r="N62" s="11" t="s">
        <v>51</v>
      </c>
      <c r="O62" s="11"/>
      <c r="P62" s="11"/>
      <c r="Q62" s="11"/>
      <c r="R62" s="11"/>
      <c r="S62" s="11"/>
      <c r="T62" s="11">
        <v>3</v>
      </c>
      <c r="U62" s="11">
        <v>3</v>
      </c>
      <c r="V62" s="10">
        <f t="shared" si="9"/>
        <v>210</v>
      </c>
      <c r="W62" s="10">
        <v>44</v>
      </c>
      <c r="X62" s="10">
        <v>110</v>
      </c>
      <c r="Y62" s="10"/>
      <c r="Z62" s="10"/>
      <c r="AA62" s="10"/>
      <c r="AB62" s="10">
        <f>56</f>
        <v>56</v>
      </c>
      <c r="AC62" s="10"/>
      <c r="AD62" s="10"/>
      <c r="AE62" s="5"/>
      <c r="AF62" s="5"/>
      <c r="AG62" s="5"/>
      <c r="AH62" s="5"/>
      <c r="AI62" s="5"/>
      <c r="AJ62" s="5"/>
      <c r="AK62" s="34"/>
      <c r="AL62" s="33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</row>
    <row r="63" spans="1:54" s="1" customFormat="1" ht="16.5" customHeight="1" x14ac:dyDescent="0.3">
      <c r="A63" s="95"/>
      <c r="B63" s="31" t="s">
        <v>540</v>
      </c>
      <c r="C63" s="30">
        <v>5</v>
      </c>
      <c r="D63" s="10" t="s">
        <v>712</v>
      </c>
      <c r="E63" s="18">
        <v>1.5</v>
      </c>
      <c r="F63" s="11"/>
      <c r="G63" s="11" t="s">
        <v>711</v>
      </c>
      <c r="H63" s="11" t="s">
        <v>710</v>
      </c>
      <c r="I63" s="11" t="s">
        <v>51</v>
      </c>
      <c r="J63" s="11" t="s">
        <v>521</v>
      </c>
      <c r="K63" s="11"/>
      <c r="L63" s="11"/>
      <c r="M63" s="11"/>
      <c r="N63" s="11"/>
      <c r="O63" s="11"/>
      <c r="P63" s="11"/>
      <c r="Q63" s="11"/>
      <c r="R63" s="11"/>
      <c r="S63" s="11"/>
      <c r="T63" s="11">
        <v>3</v>
      </c>
      <c r="U63" s="11">
        <v>3</v>
      </c>
      <c r="V63" s="10">
        <f t="shared" si="9"/>
        <v>85</v>
      </c>
      <c r="W63" s="10"/>
      <c r="X63" s="10">
        <v>29</v>
      </c>
      <c r="Y63" s="10"/>
      <c r="Z63" s="10"/>
      <c r="AA63" s="10"/>
      <c r="AB63" s="10"/>
      <c r="AC63" s="10">
        <v>56</v>
      </c>
      <c r="AD63" s="10"/>
      <c r="AE63" s="5"/>
      <c r="AF63" s="5"/>
      <c r="AG63" s="5"/>
      <c r="AH63" s="5"/>
      <c r="AI63" s="5"/>
      <c r="AJ63" s="5"/>
      <c r="AK63" s="34"/>
      <c r="AL63" s="33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</row>
    <row r="64" spans="1:54" s="1" customFormat="1" ht="16.5" customHeight="1" x14ac:dyDescent="0.3">
      <c r="A64" s="95"/>
      <c r="B64" s="31" t="s">
        <v>540</v>
      </c>
      <c r="C64" s="30">
        <v>6</v>
      </c>
      <c r="D64" s="10" t="s">
        <v>709</v>
      </c>
      <c r="E64" s="18">
        <v>1.3</v>
      </c>
      <c r="F64" s="11"/>
      <c r="G64" s="11" t="s">
        <v>708</v>
      </c>
      <c r="H64" s="11" t="s">
        <v>707</v>
      </c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>
        <v>3.9</v>
      </c>
      <c r="U64" s="11">
        <v>1.9</v>
      </c>
      <c r="V64" s="10">
        <f t="shared" si="9"/>
        <v>16</v>
      </c>
      <c r="W64" s="10"/>
      <c r="X64" s="10"/>
      <c r="Y64" s="10"/>
      <c r="Z64" s="10"/>
      <c r="AA64" s="10"/>
      <c r="AB64" s="10">
        <f>16</f>
        <v>16</v>
      </c>
      <c r="AC64" s="10"/>
      <c r="AD64" s="10"/>
      <c r="AE64" s="5"/>
      <c r="AF64" s="5"/>
      <c r="AG64" s="5"/>
      <c r="AH64" s="5"/>
      <c r="AI64" s="5"/>
      <c r="AJ64" s="5"/>
      <c r="AK64" s="34"/>
      <c r="AL64" s="33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</row>
    <row r="65" spans="1:54" s="1" customFormat="1" ht="16.5" customHeight="1" x14ac:dyDescent="0.3">
      <c r="A65" s="95"/>
      <c r="B65" s="31" t="s">
        <v>540</v>
      </c>
      <c r="C65" s="30">
        <v>7</v>
      </c>
      <c r="D65" s="10" t="s">
        <v>706</v>
      </c>
      <c r="E65" s="18">
        <v>5</v>
      </c>
      <c r="F65" s="11"/>
      <c r="G65" s="11" t="s">
        <v>705</v>
      </c>
      <c r="H65" s="11" t="s">
        <v>704</v>
      </c>
      <c r="I65" s="11" t="s">
        <v>51</v>
      </c>
      <c r="J65" s="11" t="s">
        <v>691</v>
      </c>
      <c r="K65" s="11"/>
      <c r="L65" s="11"/>
      <c r="M65" s="11"/>
      <c r="N65" s="11" t="s">
        <v>51</v>
      </c>
      <c r="O65" s="11" t="s">
        <v>51</v>
      </c>
      <c r="P65" s="11"/>
      <c r="Q65" s="11"/>
      <c r="R65" s="11"/>
      <c r="S65" s="11"/>
      <c r="T65" s="11" t="s">
        <v>563</v>
      </c>
      <c r="U65" s="11" t="s">
        <v>90</v>
      </c>
      <c r="V65" s="10">
        <f t="shared" si="9"/>
        <v>103</v>
      </c>
      <c r="W65" s="10"/>
      <c r="X65" s="10">
        <v>11</v>
      </c>
      <c r="Y65" s="10"/>
      <c r="Z65" s="10"/>
      <c r="AA65" s="10"/>
      <c r="AB65" s="10">
        <f>40+52</f>
        <v>92</v>
      </c>
      <c r="AC65" s="10"/>
      <c r="AD65" s="10"/>
      <c r="AE65" s="5"/>
      <c r="AF65" s="5"/>
      <c r="AG65" s="5"/>
      <c r="AH65" s="5"/>
      <c r="AI65" s="5"/>
      <c r="AJ65" s="5"/>
      <c r="AK65" s="34"/>
      <c r="AL65" s="33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</row>
    <row r="66" spans="1:54" s="1" customFormat="1" ht="16.5" customHeight="1" x14ac:dyDescent="0.3">
      <c r="A66" s="95"/>
      <c r="B66" s="31" t="s">
        <v>540</v>
      </c>
      <c r="C66" s="30">
        <v>8</v>
      </c>
      <c r="D66" s="10" t="s">
        <v>703</v>
      </c>
      <c r="E66" s="18">
        <v>0.3</v>
      </c>
      <c r="F66" s="11"/>
      <c r="G66" s="11" t="s">
        <v>702</v>
      </c>
      <c r="H66" s="11" t="s">
        <v>701</v>
      </c>
      <c r="I66" s="11" t="s">
        <v>51</v>
      </c>
      <c r="J66" s="11" t="s">
        <v>521</v>
      </c>
      <c r="K66" s="11"/>
      <c r="L66" s="11"/>
      <c r="M66" s="11"/>
      <c r="N66" s="11"/>
      <c r="O66" s="11"/>
      <c r="P66" s="11"/>
      <c r="Q66" s="11"/>
      <c r="R66" s="11"/>
      <c r="S66" s="11"/>
      <c r="T66" s="11">
        <v>1.6</v>
      </c>
      <c r="U66" s="11">
        <v>1.7</v>
      </c>
      <c r="V66" s="10">
        <f t="shared" si="9"/>
        <v>19</v>
      </c>
      <c r="W66" s="10"/>
      <c r="X66" s="10">
        <f>10+9</f>
        <v>19</v>
      </c>
      <c r="Y66" s="10"/>
      <c r="Z66" s="10"/>
      <c r="AA66" s="10"/>
      <c r="AB66" s="10"/>
      <c r="AC66" s="10"/>
      <c r="AD66" s="10"/>
      <c r="AE66" s="5"/>
      <c r="AF66" s="5"/>
      <c r="AG66" s="5"/>
      <c r="AH66" s="5"/>
      <c r="AI66" s="5"/>
      <c r="AJ66" s="5"/>
      <c r="AK66" s="34"/>
      <c r="AL66" s="33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</row>
    <row r="67" spans="1:54" s="1" customFormat="1" ht="16.5" customHeight="1" x14ac:dyDescent="0.3">
      <c r="A67" s="95"/>
      <c r="B67" s="31" t="s">
        <v>540</v>
      </c>
      <c r="C67" s="30">
        <v>9</v>
      </c>
      <c r="D67" s="10" t="s">
        <v>410</v>
      </c>
      <c r="E67" s="18">
        <v>1.6</v>
      </c>
      <c r="F67" s="11"/>
      <c r="G67" s="11" t="s">
        <v>674</v>
      </c>
      <c r="H67" s="11" t="s">
        <v>308</v>
      </c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>
        <v>1.3</v>
      </c>
      <c r="U67" s="11">
        <v>1.3</v>
      </c>
      <c r="V67" s="10">
        <f t="shared" si="9"/>
        <v>140</v>
      </c>
      <c r="W67" s="10">
        <v>140</v>
      </c>
      <c r="X67" s="10"/>
      <c r="Y67" s="10"/>
      <c r="Z67" s="10"/>
      <c r="AA67" s="10"/>
      <c r="AB67" s="10"/>
      <c r="AC67" s="10"/>
      <c r="AD67" s="10"/>
      <c r="AE67" s="5"/>
      <c r="AF67" s="5"/>
      <c r="AG67" s="5"/>
      <c r="AH67" s="5"/>
      <c r="AI67" s="5"/>
      <c r="AJ67" s="5"/>
      <c r="AK67" s="34"/>
      <c r="AL67" s="33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</row>
    <row r="68" spans="1:54" s="1" customFormat="1" ht="16.5" customHeight="1" x14ac:dyDescent="0.3">
      <c r="A68" s="95"/>
      <c r="B68" s="31" t="s">
        <v>540</v>
      </c>
      <c r="C68" s="30">
        <v>10</v>
      </c>
      <c r="D68" s="10" t="s">
        <v>700</v>
      </c>
      <c r="E68" s="18">
        <v>4.3</v>
      </c>
      <c r="F68" s="11"/>
      <c r="G68" s="11" t="s">
        <v>699</v>
      </c>
      <c r="H68" s="11" t="s">
        <v>698</v>
      </c>
      <c r="I68" s="11" t="s">
        <v>51</v>
      </c>
      <c r="J68" s="11" t="s">
        <v>521</v>
      </c>
      <c r="K68" s="11"/>
      <c r="L68" s="11"/>
      <c r="M68" s="11"/>
      <c r="N68" s="11"/>
      <c r="O68" s="11" t="s">
        <v>51</v>
      </c>
      <c r="P68" s="11"/>
      <c r="Q68" s="11"/>
      <c r="R68" s="11"/>
      <c r="S68" s="11"/>
      <c r="T68" s="11">
        <v>3</v>
      </c>
      <c r="U68" s="11">
        <v>3</v>
      </c>
      <c r="V68" s="10">
        <f t="shared" si="9"/>
        <v>202</v>
      </c>
      <c r="W68" s="10"/>
      <c r="X68" s="10">
        <f>78+78</f>
        <v>156</v>
      </c>
      <c r="Y68" s="10"/>
      <c r="Z68" s="10"/>
      <c r="AA68" s="10"/>
      <c r="AB68" s="10">
        <f>46</f>
        <v>46</v>
      </c>
      <c r="AC68" s="10"/>
      <c r="AD68" s="10"/>
      <c r="AE68" s="5"/>
      <c r="AF68" s="5"/>
      <c r="AG68" s="5"/>
      <c r="AH68" s="5"/>
      <c r="AI68" s="5"/>
      <c r="AJ68" s="5"/>
      <c r="AK68" s="34"/>
      <c r="AL68" s="33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</row>
    <row r="69" spans="1:54" s="1" customFormat="1" ht="16.5" customHeight="1" x14ac:dyDescent="0.3">
      <c r="A69" s="95"/>
      <c r="B69" s="31" t="s">
        <v>540</v>
      </c>
      <c r="C69" s="30">
        <v>11</v>
      </c>
      <c r="D69" s="10" t="s">
        <v>697</v>
      </c>
      <c r="E69" s="18">
        <v>0.6</v>
      </c>
      <c r="F69" s="11"/>
      <c r="G69" s="11" t="s">
        <v>696</v>
      </c>
      <c r="H69" s="11" t="s">
        <v>695</v>
      </c>
      <c r="I69" s="11" t="s">
        <v>51</v>
      </c>
      <c r="J69" s="11" t="s">
        <v>521</v>
      </c>
      <c r="K69" s="11"/>
      <c r="L69" s="11"/>
      <c r="M69" s="11"/>
      <c r="N69" s="11"/>
      <c r="O69" s="11"/>
      <c r="P69" s="11" t="s">
        <v>51</v>
      </c>
      <c r="Q69" s="11"/>
      <c r="R69" s="11"/>
      <c r="S69" s="11"/>
      <c r="T69" s="11">
        <v>2.5</v>
      </c>
      <c r="U69" s="11">
        <v>2.7</v>
      </c>
      <c r="V69" s="10">
        <f t="shared" si="9"/>
        <v>0</v>
      </c>
      <c r="W69" s="10"/>
      <c r="X69" s="10">
        <v>0</v>
      </c>
      <c r="Y69" s="10"/>
      <c r="Z69" s="10"/>
      <c r="AA69" s="10"/>
      <c r="AB69" s="10"/>
      <c r="AC69" s="10"/>
      <c r="AD69" s="10"/>
      <c r="AE69" s="5"/>
      <c r="AF69" s="5"/>
      <c r="AG69" s="5"/>
      <c r="AH69" s="5"/>
      <c r="AI69" s="5"/>
      <c r="AJ69" s="5"/>
      <c r="AK69" s="34"/>
      <c r="AL69" s="33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</row>
    <row r="70" spans="1:54" s="1" customFormat="1" ht="16.5" customHeight="1" x14ac:dyDescent="0.3">
      <c r="A70" s="95"/>
      <c r="B70" s="31" t="s">
        <v>540</v>
      </c>
      <c r="C70" s="30">
        <v>12</v>
      </c>
      <c r="D70" s="10" t="s">
        <v>694</v>
      </c>
      <c r="E70" s="18">
        <v>2.2000000000000002</v>
      </c>
      <c r="F70" s="11"/>
      <c r="G70" s="11" t="s">
        <v>693</v>
      </c>
      <c r="H70" s="11" t="s">
        <v>692</v>
      </c>
      <c r="I70" s="11" t="s">
        <v>51</v>
      </c>
      <c r="J70" s="11" t="s">
        <v>691</v>
      </c>
      <c r="K70" s="11"/>
      <c r="L70" s="11"/>
      <c r="M70" s="11"/>
      <c r="N70" s="11"/>
      <c r="O70" s="11"/>
      <c r="P70" s="11"/>
      <c r="Q70" s="11"/>
      <c r="R70" s="11"/>
      <c r="S70" s="11"/>
      <c r="T70" s="11" t="s">
        <v>18</v>
      </c>
      <c r="U70" s="11">
        <v>2.6</v>
      </c>
      <c r="V70" s="10">
        <f t="shared" si="9"/>
        <v>115</v>
      </c>
      <c r="W70" s="10"/>
      <c r="X70" s="10"/>
      <c r="Y70" s="10"/>
      <c r="Z70" s="10"/>
      <c r="AA70" s="10"/>
      <c r="AB70" s="10">
        <v>115</v>
      </c>
      <c r="AC70" s="10"/>
      <c r="AD70" s="10"/>
      <c r="AE70" s="5"/>
      <c r="AF70" s="5"/>
      <c r="AG70" s="5"/>
      <c r="AH70" s="5"/>
      <c r="AI70" s="5"/>
      <c r="AJ70" s="5"/>
      <c r="AK70" s="34"/>
      <c r="AL70" s="33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</row>
    <row r="71" spans="1:54" s="1" customFormat="1" ht="16.5" customHeight="1" x14ac:dyDescent="0.3">
      <c r="A71" s="95"/>
      <c r="B71" s="31" t="s">
        <v>540</v>
      </c>
      <c r="C71" s="30">
        <v>13</v>
      </c>
      <c r="D71" s="10" t="s">
        <v>406</v>
      </c>
      <c r="E71" s="18">
        <v>1.9</v>
      </c>
      <c r="F71" s="18" t="s">
        <v>409</v>
      </c>
      <c r="G71" s="18" t="s">
        <v>690</v>
      </c>
      <c r="H71" s="18" t="s">
        <v>689</v>
      </c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>
        <v>6</v>
      </c>
      <c r="U71" s="18">
        <v>6</v>
      </c>
      <c r="V71" s="10">
        <f t="shared" si="9"/>
        <v>153</v>
      </c>
      <c r="W71" s="10">
        <v>12</v>
      </c>
      <c r="X71" s="10"/>
      <c r="Y71" s="10"/>
      <c r="Z71" s="10"/>
      <c r="AA71" s="10">
        <v>141</v>
      </c>
      <c r="AB71" s="10"/>
      <c r="AC71" s="10"/>
      <c r="AD71" s="10"/>
      <c r="AE71" s="5"/>
      <c r="AF71" s="5"/>
      <c r="AG71" s="5"/>
      <c r="AH71" s="5"/>
      <c r="AI71" s="5"/>
      <c r="AJ71" s="5"/>
      <c r="AK71" s="34"/>
      <c r="AL71" s="33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</row>
    <row r="72" spans="1:54" s="36" customFormat="1" ht="16.5" customHeight="1" x14ac:dyDescent="0.3">
      <c r="A72" s="95"/>
      <c r="B72" s="31" t="s">
        <v>540</v>
      </c>
      <c r="C72" s="30">
        <v>14</v>
      </c>
      <c r="D72" s="10" t="s">
        <v>688</v>
      </c>
      <c r="E72" s="18">
        <v>1.2</v>
      </c>
      <c r="F72" s="11" t="s">
        <v>224</v>
      </c>
      <c r="G72" s="11" t="s">
        <v>687</v>
      </c>
      <c r="H72" s="11" t="s">
        <v>686</v>
      </c>
      <c r="I72" s="11" t="s">
        <v>51</v>
      </c>
      <c r="J72" s="11" t="s">
        <v>607</v>
      </c>
      <c r="K72" s="11"/>
      <c r="L72" s="11"/>
      <c r="M72" s="11"/>
      <c r="N72" s="11"/>
      <c r="O72" s="11"/>
      <c r="P72" s="11" t="s">
        <v>51</v>
      </c>
      <c r="Q72" s="11" t="s">
        <v>70</v>
      </c>
      <c r="R72" s="11" t="s">
        <v>221</v>
      </c>
      <c r="S72" s="11"/>
      <c r="T72" s="11">
        <v>5.4</v>
      </c>
      <c r="U72" s="11">
        <v>5.4</v>
      </c>
      <c r="V72" s="10">
        <f t="shared" si="9"/>
        <v>193</v>
      </c>
      <c r="W72" s="10">
        <v>147</v>
      </c>
      <c r="X72" s="10"/>
      <c r="Y72" s="10"/>
      <c r="Z72" s="10"/>
      <c r="AA72" s="10"/>
      <c r="AB72" s="10"/>
      <c r="AC72" s="10">
        <v>46</v>
      </c>
      <c r="AD72" s="10"/>
      <c r="AE72" s="5"/>
      <c r="AF72" s="5"/>
      <c r="AG72" s="5"/>
      <c r="AH72" s="5"/>
      <c r="AI72" s="5"/>
      <c r="AJ72" s="5"/>
      <c r="AK72" s="34"/>
      <c r="AL72" s="33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</row>
    <row r="73" spans="1:54" s="1" customFormat="1" ht="16.5" customHeight="1" x14ac:dyDescent="0.3">
      <c r="A73" s="95"/>
      <c r="B73" s="31" t="s">
        <v>540</v>
      </c>
      <c r="C73" s="30">
        <v>15</v>
      </c>
      <c r="D73" s="10" t="s">
        <v>685</v>
      </c>
      <c r="E73" s="18">
        <v>1.1000000000000001</v>
      </c>
      <c r="F73" s="11"/>
      <c r="G73" s="11" t="s">
        <v>684</v>
      </c>
      <c r="H73" s="11" t="s">
        <v>683</v>
      </c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>
        <v>2</v>
      </c>
      <c r="U73" s="11">
        <v>2</v>
      </c>
      <c r="V73" s="10">
        <f t="shared" si="9"/>
        <v>71</v>
      </c>
      <c r="W73" s="10"/>
      <c r="X73" s="10"/>
      <c r="Y73" s="10"/>
      <c r="Z73" s="10"/>
      <c r="AA73" s="10"/>
      <c r="AB73" s="10"/>
      <c r="AC73" s="10">
        <f>37+34</f>
        <v>71</v>
      </c>
      <c r="AD73" s="10"/>
      <c r="AE73" s="5"/>
      <c r="AF73" s="5"/>
      <c r="AG73" s="5"/>
      <c r="AH73" s="5"/>
      <c r="AI73" s="5"/>
      <c r="AJ73" s="5"/>
      <c r="AK73" s="34"/>
      <c r="AL73" s="33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</row>
    <row r="74" spans="1:54" s="1" customFormat="1" ht="16.5" customHeight="1" x14ac:dyDescent="0.3">
      <c r="A74" s="95"/>
      <c r="B74" s="31" t="s">
        <v>540</v>
      </c>
      <c r="C74" s="30">
        <v>16</v>
      </c>
      <c r="D74" s="10" t="s">
        <v>682</v>
      </c>
      <c r="E74" s="18">
        <v>5.5</v>
      </c>
      <c r="F74" s="11"/>
      <c r="G74" s="11" t="s">
        <v>308</v>
      </c>
      <c r="H74" s="11" t="s">
        <v>681</v>
      </c>
      <c r="I74" s="11" t="s">
        <v>51</v>
      </c>
      <c r="J74" s="11" t="s">
        <v>521</v>
      </c>
      <c r="K74" s="11"/>
      <c r="L74" s="11"/>
      <c r="M74" s="11"/>
      <c r="N74" s="11" t="s">
        <v>51</v>
      </c>
      <c r="O74" s="11"/>
      <c r="P74" s="11"/>
      <c r="Q74" s="11"/>
      <c r="R74" s="11"/>
      <c r="S74" s="11"/>
      <c r="T74" s="11" t="s">
        <v>18</v>
      </c>
      <c r="U74" s="11" t="s">
        <v>680</v>
      </c>
      <c r="V74" s="10">
        <f t="shared" si="9"/>
        <v>86</v>
      </c>
      <c r="W74" s="10"/>
      <c r="X74" s="10">
        <v>86</v>
      </c>
      <c r="Y74" s="10"/>
      <c r="Z74" s="10"/>
      <c r="AA74" s="10"/>
      <c r="AB74" s="10"/>
      <c r="AC74" s="10">
        <v>0</v>
      </c>
      <c r="AD74" s="10"/>
      <c r="AE74" s="5"/>
      <c r="AF74" s="5"/>
      <c r="AG74" s="5"/>
      <c r="AH74" s="5"/>
      <c r="AI74" s="5"/>
      <c r="AJ74" s="5"/>
      <c r="AK74" s="34"/>
      <c r="AL74" s="33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</row>
    <row r="75" spans="1:54" s="1" customFormat="1" ht="16.5" customHeight="1" x14ac:dyDescent="0.3">
      <c r="A75" s="95"/>
      <c r="B75" s="31" t="s">
        <v>540</v>
      </c>
      <c r="C75" s="30">
        <v>17</v>
      </c>
      <c r="D75" s="10" t="s">
        <v>679</v>
      </c>
      <c r="E75" s="18">
        <v>0.4</v>
      </c>
      <c r="F75" s="11"/>
      <c r="G75" s="11" t="s">
        <v>678</v>
      </c>
      <c r="H75" s="11" t="s">
        <v>677</v>
      </c>
      <c r="I75" s="11"/>
      <c r="J75" s="11"/>
      <c r="K75" s="11"/>
      <c r="L75" s="11"/>
      <c r="M75" s="11"/>
      <c r="N75" s="11" t="s">
        <v>51</v>
      </c>
      <c r="O75" s="11"/>
      <c r="P75" s="11"/>
      <c r="Q75" s="11"/>
      <c r="R75" s="11"/>
      <c r="S75" s="11"/>
      <c r="T75" s="11">
        <v>1.8</v>
      </c>
      <c r="U75" s="11">
        <v>1.8</v>
      </c>
      <c r="V75" s="10">
        <f t="shared" si="9"/>
        <v>73</v>
      </c>
      <c r="W75" s="10"/>
      <c r="X75" s="10"/>
      <c r="Y75" s="10"/>
      <c r="Z75" s="10"/>
      <c r="AA75" s="10">
        <f>33+40</f>
        <v>73</v>
      </c>
      <c r="AB75" s="10"/>
      <c r="AC75" s="10"/>
      <c r="AD75" s="10"/>
      <c r="AE75" s="5"/>
      <c r="AF75" s="5"/>
      <c r="AG75" s="5"/>
      <c r="AH75" s="5"/>
      <c r="AI75" s="5"/>
      <c r="AJ75" s="5"/>
      <c r="AK75" s="34"/>
      <c r="AL75" s="33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</row>
    <row r="76" spans="1:54" s="1" customFormat="1" ht="16.5" customHeight="1" x14ac:dyDescent="0.3">
      <c r="A76" s="95"/>
      <c r="B76" s="31" t="s">
        <v>540</v>
      </c>
      <c r="C76" s="30">
        <v>18</v>
      </c>
      <c r="D76" s="10" t="s">
        <v>676</v>
      </c>
      <c r="E76" s="18">
        <v>0.9</v>
      </c>
      <c r="F76" s="11"/>
      <c r="G76" s="11" t="s">
        <v>675</v>
      </c>
      <c r="H76" s="11" t="s">
        <v>674</v>
      </c>
      <c r="I76" s="11"/>
      <c r="J76" s="11"/>
      <c r="K76" s="11"/>
      <c r="L76" s="11"/>
      <c r="M76" s="11"/>
      <c r="N76" s="11" t="s">
        <v>51</v>
      </c>
      <c r="O76" s="11"/>
      <c r="P76" s="11"/>
      <c r="Q76" s="11"/>
      <c r="R76" s="11"/>
      <c r="S76" s="11"/>
      <c r="T76" s="11">
        <v>3.2</v>
      </c>
      <c r="U76" s="11">
        <v>3.2</v>
      </c>
      <c r="V76" s="10">
        <f t="shared" si="9"/>
        <v>93</v>
      </c>
      <c r="W76" s="10"/>
      <c r="X76" s="10"/>
      <c r="Y76" s="10"/>
      <c r="Z76" s="10"/>
      <c r="AA76" s="10">
        <f>37+22</f>
        <v>59</v>
      </c>
      <c r="AB76" s="10"/>
      <c r="AC76" s="10">
        <v>34</v>
      </c>
      <c r="AD76" s="10"/>
      <c r="AE76" s="5"/>
      <c r="AF76" s="5"/>
      <c r="AG76" s="5"/>
      <c r="AH76" s="5"/>
      <c r="AI76" s="5"/>
      <c r="AJ76" s="5"/>
      <c r="AK76" s="34"/>
      <c r="AL76" s="33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</row>
    <row r="77" spans="1:54" s="1" customFormat="1" ht="16.5" customHeight="1" x14ac:dyDescent="0.3">
      <c r="A77" s="95"/>
      <c r="B77" s="31" t="s">
        <v>540</v>
      </c>
      <c r="C77" s="30">
        <v>19</v>
      </c>
      <c r="D77" s="10" t="s">
        <v>673</v>
      </c>
      <c r="E77" s="18">
        <v>0.2</v>
      </c>
      <c r="F77" s="12"/>
      <c r="G77" s="11" t="s">
        <v>672</v>
      </c>
      <c r="H77" s="11" t="s">
        <v>671</v>
      </c>
      <c r="I77" s="11" t="s">
        <v>51</v>
      </c>
      <c r="J77" s="11" t="s">
        <v>670</v>
      </c>
      <c r="K77" s="11"/>
      <c r="L77" s="11"/>
      <c r="M77" s="11"/>
      <c r="N77" s="11"/>
      <c r="O77" s="11"/>
      <c r="P77" s="11"/>
      <c r="Q77" s="12"/>
      <c r="R77" s="12"/>
      <c r="S77" s="11"/>
      <c r="T77" s="11">
        <v>1.5</v>
      </c>
      <c r="U77" s="11">
        <v>1.5</v>
      </c>
      <c r="V77" s="10">
        <f t="shared" si="9"/>
        <v>63</v>
      </c>
      <c r="W77" s="10">
        <v>63</v>
      </c>
      <c r="X77" s="10"/>
      <c r="Y77" s="10"/>
      <c r="Z77" s="10"/>
      <c r="AA77" s="10"/>
      <c r="AB77" s="10"/>
      <c r="AC77" s="10"/>
      <c r="AD77" s="10"/>
      <c r="AE77" s="5"/>
      <c r="AF77" s="5"/>
      <c r="AG77" s="5"/>
      <c r="AH77" s="5"/>
      <c r="AI77" s="5"/>
      <c r="AJ77" s="5"/>
      <c r="AK77" s="34"/>
      <c r="AL77" s="33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</row>
    <row r="78" spans="1:54" s="1" customFormat="1" ht="16.5" customHeight="1" x14ac:dyDescent="0.3">
      <c r="A78" s="95"/>
      <c r="B78" s="31" t="s">
        <v>540</v>
      </c>
      <c r="C78" s="30">
        <v>20</v>
      </c>
      <c r="D78" s="10" t="s">
        <v>669</v>
      </c>
      <c r="E78" s="18">
        <v>0.9</v>
      </c>
      <c r="F78" s="11"/>
      <c r="G78" s="11" t="s">
        <v>668</v>
      </c>
      <c r="H78" s="11" t="s">
        <v>667</v>
      </c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 t="s">
        <v>666</v>
      </c>
      <c r="U78" s="11" t="s">
        <v>665</v>
      </c>
      <c r="V78" s="10">
        <f t="shared" si="9"/>
        <v>80</v>
      </c>
      <c r="W78" s="10">
        <v>80</v>
      </c>
      <c r="X78" s="10"/>
      <c r="Y78" s="10"/>
      <c r="Z78" s="10"/>
      <c r="AA78" s="10"/>
      <c r="AB78" s="10"/>
      <c r="AC78" s="10"/>
      <c r="AD78" s="10"/>
      <c r="AE78" s="5"/>
      <c r="AF78" s="5"/>
      <c r="AG78" s="5"/>
      <c r="AH78" s="5"/>
      <c r="AI78" s="5"/>
      <c r="AJ78" s="5"/>
      <c r="AK78" s="34"/>
      <c r="AL78" s="33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</row>
    <row r="79" spans="1:54" s="1" customFormat="1" ht="16.5" customHeight="1" x14ac:dyDescent="0.3">
      <c r="A79" s="95"/>
      <c r="B79" s="31" t="s">
        <v>540</v>
      </c>
      <c r="C79" s="30">
        <v>21</v>
      </c>
      <c r="D79" s="10" t="s">
        <v>664</v>
      </c>
      <c r="E79" s="18">
        <v>0.6</v>
      </c>
      <c r="F79" s="11"/>
      <c r="G79" s="11" t="s">
        <v>663</v>
      </c>
      <c r="H79" s="11" t="s">
        <v>662</v>
      </c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>
        <v>2.6</v>
      </c>
      <c r="U79" s="11">
        <v>3</v>
      </c>
      <c r="V79" s="10">
        <f t="shared" si="9"/>
        <v>33</v>
      </c>
      <c r="W79" s="10"/>
      <c r="X79" s="10"/>
      <c r="Y79" s="10"/>
      <c r="Z79" s="10"/>
      <c r="AA79" s="10">
        <f>17+16</f>
        <v>33</v>
      </c>
      <c r="AB79" s="10"/>
      <c r="AC79" s="10"/>
      <c r="AD79" s="10"/>
      <c r="AE79" s="5"/>
      <c r="AF79" s="5"/>
      <c r="AG79" s="5"/>
      <c r="AH79" s="5"/>
      <c r="AI79" s="5"/>
      <c r="AJ79" s="5"/>
      <c r="AK79" s="34"/>
      <c r="AL79" s="33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</row>
    <row r="80" spans="1:54" s="1" customFormat="1" ht="16.5" customHeight="1" x14ac:dyDescent="0.3">
      <c r="A80" s="95"/>
      <c r="B80" s="31" t="s">
        <v>540</v>
      </c>
      <c r="C80" s="30">
        <v>22</v>
      </c>
      <c r="D80" s="10" t="s">
        <v>661</v>
      </c>
      <c r="E80" s="18">
        <v>9.6</v>
      </c>
      <c r="F80" s="11"/>
      <c r="G80" s="11" t="s">
        <v>660</v>
      </c>
      <c r="H80" s="11" t="s">
        <v>659</v>
      </c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 t="s">
        <v>18</v>
      </c>
      <c r="U80" s="11" t="s">
        <v>585</v>
      </c>
      <c r="V80" s="10">
        <f t="shared" si="9"/>
        <v>62</v>
      </c>
      <c r="W80" s="10"/>
      <c r="X80" s="10"/>
      <c r="Y80" s="10"/>
      <c r="Z80" s="10"/>
      <c r="AA80" s="10">
        <v>62</v>
      </c>
      <c r="AB80" s="10"/>
      <c r="AC80" s="10"/>
      <c r="AD80" s="10"/>
      <c r="AE80" s="5"/>
      <c r="AF80" s="5"/>
      <c r="AG80" s="5"/>
      <c r="AH80" s="5"/>
      <c r="AI80" s="5"/>
      <c r="AJ80" s="5"/>
      <c r="AK80" s="34"/>
      <c r="AL80" s="33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</row>
    <row r="81" spans="1:54" s="1" customFormat="1" ht="16.5" customHeight="1" x14ac:dyDescent="0.3">
      <c r="A81" s="95"/>
      <c r="B81" s="31" t="s">
        <v>540</v>
      </c>
      <c r="C81" s="30">
        <v>23</v>
      </c>
      <c r="D81" s="10" t="s">
        <v>658</v>
      </c>
      <c r="E81" s="18">
        <v>3.8</v>
      </c>
      <c r="F81" s="11"/>
      <c r="G81" s="11" t="s">
        <v>657</v>
      </c>
      <c r="H81" s="11" t="s">
        <v>656</v>
      </c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>
        <v>3</v>
      </c>
      <c r="U81" s="11">
        <v>3</v>
      </c>
      <c r="V81" s="10">
        <f t="shared" si="9"/>
        <v>22</v>
      </c>
      <c r="W81" s="10">
        <v>14</v>
      </c>
      <c r="X81" s="10"/>
      <c r="Y81" s="10"/>
      <c r="Z81" s="10"/>
      <c r="AA81" s="10">
        <v>8</v>
      </c>
      <c r="AB81" s="10"/>
      <c r="AC81" s="10"/>
      <c r="AD81" s="10"/>
      <c r="AE81" s="5"/>
      <c r="AF81" s="5"/>
      <c r="AG81" s="5"/>
      <c r="AH81" s="5"/>
      <c r="AI81" s="5"/>
      <c r="AJ81" s="5"/>
      <c r="AK81" s="34"/>
      <c r="AL81" s="33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</row>
    <row r="82" spans="1:54" s="1" customFormat="1" ht="16.5" customHeight="1" x14ac:dyDescent="0.3">
      <c r="A82" s="95"/>
      <c r="B82" s="31" t="s">
        <v>540</v>
      </c>
      <c r="C82" s="30">
        <v>24</v>
      </c>
      <c r="D82" s="10" t="s">
        <v>655</v>
      </c>
      <c r="E82" s="18">
        <v>1.2</v>
      </c>
      <c r="F82" s="11"/>
      <c r="G82" s="11" t="s">
        <v>654</v>
      </c>
      <c r="H82" s="11" t="s">
        <v>653</v>
      </c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>
        <v>3.4</v>
      </c>
      <c r="U82" s="11">
        <v>3</v>
      </c>
      <c r="V82" s="10">
        <f t="shared" si="9"/>
        <v>240</v>
      </c>
      <c r="W82" s="10"/>
      <c r="X82" s="10"/>
      <c r="Y82" s="10"/>
      <c r="Z82" s="10"/>
      <c r="AA82" s="10">
        <v>240</v>
      </c>
      <c r="AB82" s="10"/>
      <c r="AC82" s="10"/>
      <c r="AD82" s="10"/>
      <c r="AE82" s="5"/>
      <c r="AF82" s="5"/>
      <c r="AG82" s="5"/>
      <c r="AH82" s="5"/>
      <c r="AI82" s="5"/>
      <c r="AJ82" s="5"/>
      <c r="AK82" s="34"/>
      <c r="AL82" s="33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</row>
    <row r="83" spans="1:54" s="1" customFormat="1" ht="16.5" customHeight="1" x14ac:dyDescent="0.3">
      <c r="A83" s="95"/>
      <c r="B83" s="31" t="s">
        <v>540</v>
      </c>
      <c r="C83" s="30">
        <v>25</v>
      </c>
      <c r="D83" s="10" t="s">
        <v>652</v>
      </c>
      <c r="E83" s="18">
        <v>0.3</v>
      </c>
      <c r="F83" s="11"/>
      <c r="G83" s="11" t="s">
        <v>651</v>
      </c>
      <c r="H83" s="11" t="s">
        <v>650</v>
      </c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>
        <v>2.4</v>
      </c>
      <c r="U83" s="11">
        <v>2.6</v>
      </c>
      <c r="V83" s="10">
        <f t="shared" si="9"/>
        <v>32</v>
      </c>
      <c r="W83" s="10"/>
      <c r="X83" s="10"/>
      <c r="Y83" s="10"/>
      <c r="Z83" s="10"/>
      <c r="AA83" s="10"/>
      <c r="AB83" s="10"/>
      <c r="AC83" s="10">
        <v>32</v>
      </c>
      <c r="AD83" s="10"/>
      <c r="AE83" s="5"/>
      <c r="AF83" s="5"/>
      <c r="AG83" s="5"/>
      <c r="AH83" s="5"/>
      <c r="AI83" s="5"/>
      <c r="AJ83" s="5"/>
      <c r="AK83" s="34"/>
      <c r="AL83" s="33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</row>
    <row r="84" spans="1:54" s="1" customFormat="1" ht="16.5" customHeight="1" x14ac:dyDescent="0.3">
      <c r="A84" s="95"/>
      <c r="B84" s="31" t="s">
        <v>540</v>
      </c>
      <c r="C84" s="30">
        <v>26</v>
      </c>
      <c r="D84" s="10" t="s">
        <v>649</v>
      </c>
      <c r="E84" s="18">
        <v>0.6</v>
      </c>
      <c r="F84" s="11"/>
      <c r="G84" s="11" t="s">
        <v>648</v>
      </c>
      <c r="H84" s="11" t="s">
        <v>647</v>
      </c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>
        <v>2.6</v>
      </c>
      <c r="U84" s="11">
        <v>2.4</v>
      </c>
      <c r="V84" s="10">
        <f t="shared" si="9"/>
        <v>59</v>
      </c>
      <c r="W84" s="10"/>
      <c r="X84" s="10"/>
      <c r="Y84" s="10"/>
      <c r="Z84" s="10"/>
      <c r="AA84" s="10"/>
      <c r="AB84" s="10"/>
      <c r="AC84" s="10">
        <v>59</v>
      </c>
      <c r="AD84" s="10"/>
      <c r="AE84" s="5"/>
      <c r="AF84" s="5"/>
      <c r="AG84" s="5"/>
      <c r="AH84" s="5"/>
      <c r="AI84" s="5"/>
      <c r="AJ84" s="5"/>
      <c r="AK84" s="34"/>
      <c r="AL84" s="33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</row>
    <row r="85" spans="1:54" s="1" customFormat="1" ht="16.5" customHeight="1" x14ac:dyDescent="0.3">
      <c r="A85" s="95"/>
      <c r="B85" s="31" t="s">
        <v>540</v>
      </c>
      <c r="C85" s="30">
        <v>27</v>
      </c>
      <c r="D85" s="10" t="s">
        <v>646</v>
      </c>
      <c r="E85" s="18">
        <v>1.6</v>
      </c>
      <c r="F85" s="19"/>
      <c r="G85" s="19" t="s">
        <v>645</v>
      </c>
      <c r="H85" s="19" t="s">
        <v>644</v>
      </c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>
        <v>3</v>
      </c>
      <c r="U85" s="19">
        <v>3</v>
      </c>
      <c r="V85" s="10">
        <f t="shared" si="9"/>
        <v>299</v>
      </c>
      <c r="W85" s="10"/>
      <c r="X85" s="10"/>
      <c r="Y85" s="10">
        <v>277</v>
      </c>
      <c r="Z85" s="10"/>
      <c r="AA85" s="10">
        <f>11+11</f>
        <v>22</v>
      </c>
      <c r="AB85" s="10"/>
      <c r="AC85" s="10"/>
      <c r="AD85" s="10"/>
      <c r="AE85" s="5"/>
      <c r="AF85" s="5"/>
      <c r="AG85" s="5"/>
      <c r="AH85" s="5"/>
      <c r="AI85" s="5"/>
      <c r="AJ85" s="5"/>
      <c r="AK85" s="34"/>
      <c r="AL85" s="33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</row>
    <row r="86" spans="1:54" s="1" customFormat="1" ht="16.5" customHeight="1" x14ac:dyDescent="0.3">
      <c r="A86" s="95"/>
      <c r="B86" s="31" t="s">
        <v>540</v>
      </c>
      <c r="C86" s="30">
        <v>28</v>
      </c>
      <c r="D86" s="10" t="s">
        <v>643</v>
      </c>
      <c r="E86" s="18">
        <v>1.9</v>
      </c>
      <c r="F86" s="19"/>
      <c r="G86" s="19" t="s">
        <v>642</v>
      </c>
      <c r="H86" s="19" t="s">
        <v>641</v>
      </c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>
        <v>3.8</v>
      </c>
      <c r="U86" s="19">
        <v>3.7</v>
      </c>
      <c r="V86" s="10">
        <f t="shared" si="9"/>
        <v>378</v>
      </c>
      <c r="W86" s="10"/>
      <c r="X86" s="10"/>
      <c r="Y86" s="10"/>
      <c r="Z86" s="10"/>
      <c r="AA86" s="10"/>
      <c r="AB86" s="10">
        <f>235+143</f>
        <v>378</v>
      </c>
      <c r="AC86" s="10"/>
      <c r="AD86" s="10"/>
      <c r="AE86" s="5"/>
      <c r="AF86" s="5"/>
      <c r="AG86" s="5"/>
      <c r="AH86" s="5"/>
      <c r="AI86" s="5"/>
      <c r="AJ86" s="5"/>
      <c r="AK86" s="34"/>
      <c r="AL86" s="33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</row>
    <row r="87" spans="1:54" s="1" customFormat="1" ht="16.5" customHeight="1" x14ac:dyDescent="0.3">
      <c r="A87" s="95"/>
      <c r="B87" s="31" t="s">
        <v>540</v>
      </c>
      <c r="C87" s="30">
        <v>29</v>
      </c>
      <c r="D87" s="10" t="s">
        <v>640</v>
      </c>
      <c r="E87" s="18">
        <v>0.2</v>
      </c>
      <c r="F87" s="19"/>
      <c r="G87" s="19" t="s">
        <v>639</v>
      </c>
      <c r="H87" s="19" t="s">
        <v>638</v>
      </c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>
        <v>1.8</v>
      </c>
      <c r="U87" s="19">
        <v>3.2</v>
      </c>
      <c r="V87" s="10">
        <f t="shared" si="9"/>
        <v>21</v>
      </c>
      <c r="W87" s="10"/>
      <c r="X87" s="10"/>
      <c r="Y87" s="10"/>
      <c r="Z87" s="10"/>
      <c r="AA87" s="10"/>
      <c r="AB87" s="10"/>
      <c r="AC87" s="10">
        <v>21</v>
      </c>
      <c r="AD87" s="10"/>
      <c r="AE87" s="5"/>
      <c r="AF87" s="5"/>
      <c r="AG87" s="5"/>
      <c r="AH87" s="5"/>
      <c r="AI87" s="5"/>
      <c r="AJ87" s="5"/>
      <c r="AK87" s="34"/>
      <c r="AL87" s="33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</row>
    <row r="88" spans="1:54" s="1" customFormat="1" ht="16.5" customHeight="1" x14ac:dyDescent="0.3">
      <c r="A88" s="95"/>
      <c r="B88" s="31" t="s">
        <v>540</v>
      </c>
      <c r="C88" s="30">
        <v>30</v>
      </c>
      <c r="D88" s="10" t="s">
        <v>637</v>
      </c>
      <c r="E88" s="18">
        <v>1.4</v>
      </c>
      <c r="F88" s="11"/>
      <c r="G88" s="11" t="s">
        <v>636</v>
      </c>
      <c r="H88" s="11" t="s">
        <v>635</v>
      </c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>
        <v>2.5</v>
      </c>
      <c r="U88" s="11" t="s">
        <v>18</v>
      </c>
      <c r="V88" s="10">
        <f t="shared" si="9"/>
        <v>61</v>
      </c>
      <c r="W88" s="10"/>
      <c r="X88" s="10"/>
      <c r="Y88" s="10"/>
      <c r="Z88" s="10"/>
      <c r="AA88" s="10"/>
      <c r="AB88" s="10">
        <f>58+3</f>
        <v>61</v>
      </c>
      <c r="AC88" s="10"/>
      <c r="AD88" s="10"/>
      <c r="AE88" s="5"/>
      <c r="AF88" s="5"/>
      <c r="AG88" s="5"/>
      <c r="AH88" s="5"/>
      <c r="AI88" s="5"/>
      <c r="AJ88" s="5"/>
      <c r="AK88" s="34"/>
      <c r="AL88" s="33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</row>
    <row r="89" spans="1:54" s="1" customFormat="1" ht="16.5" customHeight="1" x14ac:dyDescent="0.3">
      <c r="A89" s="95"/>
      <c r="B89" s="31" t="s">
        <v>540</v>
      </c>
      <c r="C89" s="30">
        <v>31</v>
      </c>
      <c r="D89" s="10" t="s">
        <v>634</v>
      </c>
      <c r="E89" s="18">
        <v>0.2</v>
      </c>
      <c r="F89" s="11"/>
      <c r="G89" s="11" t="s">
        <v>633</v>
      </c>
      <c r="H89" s="11" t="s">
        <v>632</v>
      </c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 t="s">
        <v>18</v>
      </c>
      <c r="U89" s="11" t="s">
        <v>631</v>
      </c>
      <c r="V89" s="10">
        <f t="shared" si="9"/>
        <v>0</v>
      </c>
      <c r="W89" s="10"/>
      <c r="X89" s="10">
        <v>0</v>
      </c>
      <c r="Y89" s="10"/>
      <c r="Z89" s="10"/>
      <c r="AA89" s="10"/>
      <c r="AB89" s="10"/>
      <c r="AC89" s="10"/>
      <c r="AD89" s="10"/>
      <c r="AE89" s="5"/>
      <c r="AF89" s="5"/>
      <c r="AG89" s="5"/>
      <c r="AH89" s="5"/>
      <c r="AI89" s="5"/>
      <c r="AJ89" s="5"/>
      <c r="AK89" s="34"/>
      <c r="AL89" s="33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</row>
    <row r="90" spans="1:54" s="1" customFormat="1" ht="16.5" customHeight="1" x14ac:dyDescent="0.3">
      <c r="A90" s="95"/>
      <c r="B90" s="31" t="s">
        <v>540</v>
      </c>
      <c r="C90" s="30">
        <v>32</v>
      </c>
      <c r="D90" s="10" t="s">
        <v>630</v>
      </c>
      <c r="E90" s="18">
        <v>1.2</v>
      </c>
      <c r="F90" s="11"/>
      <c r="G90" s="11" t="s">
        <v>629</v>
      </c>
      <c r="H90" s="11" t="s">
        <v>628</v>
      </c>
      <c r="I90" s="11" t="s">
        <v>51</v>
      </c>
      <c r="J90" s="11" t="s">
        <v>607</v>
      </c>
      <c r="K90" s="11"/>
      <c r="L90" s="11"/>
      <c r="M90" s="11"/>
      <c r="N90" s="11"/>
      <c r="O90" s="11"/>
      <c r="P90" s="11"/>
      <c r="Q90" s="11"/>
      <c r="R90" s="11"/>
      <c r="S90" s="11" t="s">
        <v>51</v>
      </c>
      <c r="T90" s="11">
        <v>3.1</v>
      </c>
      <c r="U90" s="11">
        <v>2.7</v>
      </c>
      <c r="V90" s="10">
        <f t="shared" si="9"/>
        <v>14</v>
      </c>
      <c r="W90" s="10">
        <v>14</v>
      </c>
      <c r="X90" s="10"/>
      <c r="Y90" s="10"/>
      <c r="Z90" s="10"/>
      <c r="AA90" s="10"/>
      <c r="AB90" s="10"/>
      <c r="AC90" s="10"/>
      <c r="AD90" s="10"/>
      <c r="AE90" s="5"/>
      <c r="AF90" s="5"/>
      <c r="AG90" s="5"/>
      <c r="AH90" s="5"/>
      <c r="AI90" s="5"/>
      <c r="AJ90" s="5"/>
      <c r="AK90" s="34"/>
      <c r="AL90" s="33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</row>
    <row r="91" spans="1:54" s="1" customFormat="1" ht="16.5" customHeight="1" x14ac:dyDescent="0.3">
      <c r="A91" s="95"/>
      <c r="B91" s="31" t="s">
        <v>540</v>
      </c>
      <c r="C91" s="30">
        <v>33</v>
      </c>
      <c r="D91" s="10" t="s">
        <v>627</v>
      </c>
      <c r="E91" s="18">
        <v>0.3</v>
      </c>
      <c r="F91" s="11"/>
      <c r="G91" s="11" t="s">
        <v>626</v>
      </c>
      <c r="H91" s="11" t="s">
        <v>625</v>
      </c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 t="s">
        <v>356</v>
      </c>
      <c r="U91" s="11">
        <v>1.6</v>
      </c>
      <c r="V91" s="10">
        <f t="shared" ref="V91:V122" si="10">SUM(W91:AL91)</f>
        <v>5</v>
      </c>
      <c r="W91" s="10">
        <v>5</v>
      </c>
      <c r="X91" s="10"/>
      <c r="Y91" s="10"/>
      <c r="Z91" s="10"/>
      <c r="AA91" s="10"/>
      <c r="AB91" s="10"/>
      <c r="AC91" s="10"/>
      <c r="AD91" s="10"/>
      <c r="AE91" s="5"/>
      <c r="AF91" s="5"/>
      <c r="AG91" s="5"/>
      <c r="AH91" s="5"/>
      <c r="AI91" s="5"/>
      <c r="AJ91" s="5"/>
      <c r="AK91" s="34"/>
      <c r="AL91" s="33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</row>
    <row r="92" spans="1:54" s="1" customFormat="1" ht="16.5" customHeight="1" x14ac:dyDescent="0.3">
      <c r="A92" s="95"/>
      <c r="B92" s="31" t="s">
        <v>540</v>
      </c>
      <c r="C92" s="30">
        <v>34</v>
      </c>
      <c r="D92" s="10" t="s">
        <v>624</v>
      </c>
      <c r="E92" s="18">
        <v>0.3</v>
      </c>
      <c r="F92" s="11"/>
      <c r="G92" s="11" t="s">
        <v>623</v>
      </c>
      <c r="H92" s="11" t="s">
        <v>622</v>
      </c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>
        <v>2.9</v>
      </c>
      <c r="U92" s="11">
        <v>2.7</v>
      </c>
      <c r="V92" s="10">
        <f t="shared" si="10"/>
        <v>66</v>
      </c>
      <c r="W92" s="10"/>
      <c r="X92" s="10"/>
      <c r="Y92" s="10"/>
      <c r="Z92" s="10"/>
      <c r="AA92" s="10"/>
      <c r="AB92" s="10"/>
      <c r="AC92" s="10"/>
      <c r="AD92" s="10">
        <f>33+33</f>
        <v>66</v>
      </c>
      <c r="AE92" s="5"/>
      <c r="AF92" s="5"/>
      <c r="AG92" s="5"/>
      <c r="AH92" s="5"/>
      <c r="AI92" s="5"/>
      <c r="AJ92" s="5"/>
      <c r="AK92" s="34"/>
      <c r="AL92" s="33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</row>
    <row r="93" spans="1:54" s="1" customFormat="1" ht="16.5" customHeight="1" x14ac:dyDescent="0.3">
      <c r="A93" s="95"/>
      <c r="B93" s="31" t="s">
        <v>540</v>
      </c>
      <c r="C93" s="30">
        <v>35</v>
      </c>
      <c r="D93" s="10" t="s">
        <v>621</v>
      </c>
      <c r="E93" s="18">
        <v>0.2</v>
      </c>
      <c r="F93" s="11"/>
      <c r="G93" s="11" t="s">
        <v>620</v>
      </c>
      <c r="H93" s="11" t="s">
        <v>619</v>
      </c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>
        <v>3</v>
      </c>
      <c r="U93" s="11">
        <v>3.1</v>
      </c>
      <c r="V93" s="10">
        <f t="shared" si="10"/>
        <v>35</v>
      </c>
      <c r="W93" s="10"/>
      <c r="X93" s="10"/>
      <c r="Y93" s="10"/>
      <c r="Z93" s="10"/>
      <c r="AA93" s="10"/>
      <c r="AB93" s="10"/>
      <c r="AC93" s="10">
        <f>18+17</f>
        <v>35</v>
      </c>
      <c r="AD93" s="10"/>
      <c r="AE93" s="5"/>
      <c r="AF93" s="5"/>
      <c r="AG93" s="5"/>
      <c r="AH93" s="5"/>
      <c r="AI93" s="5"/>
      <c r="AJ93" s="5"/>
      <c r="AK93" s="34"/>
      <c r="AL93" s="33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</row>
    <row r="94" spans="1:54" s="1" customFormat="1" ht="16.5" customHeight="1" x14ac:dyDescent="0.3">
      <c r="A94" s="95"/>
      <c r="B94" s="31" t="s">
        <v>540</v>
      </c>
      <c r="C94" s="30">
        <v>36</v>
      </c>
      <c r="D94" s="10" t="s">
        <v>618</v>
      </c>
      <c r="E94" s="18">
        <v>0.2</v>
      </c>
      <c r="F94" s="11"/>
      <c r="G94" s="11" t="s">
        <v>617</v>
      </c>
      <c r="H94" s="11" t="s">
        <v>615</v>
      </c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>
        <v>3.1</v>
      </c>
      <c r="U94" s="11">
        <v>3.1</v>
      </c>
      <c r="V94" s="10">
        <f t="shared" si="10"/>
        <v>35</v>
      </c>
      <c r="W94" s="10"/>
      <c r="X94" s="10"/>
      <c r="Y94" s="10"/>
      <c r="Z94" s="10"/>
      <c r="AA94" s="10"/>
      <c r="AB94" s="10"/>
      <c r="AC94" s="10">
        <f>18+17</f>
        <v>35</v>
      </c>
      <c r="AD94" s="10"/>
      <c r="AE94" s="5"/>
      <c r="AF94" s="5"/>
      <c r="AG94" s="5"/>
      <c r="AH94" s="5"/>
      <c r="AI94" s="5"/>
      <c r="AJ94" s="5"/>
      <c r="AK94" s="34"/>
      <c r="AL94" s="33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</row>
    <row r="95" spans="1:54" s="1" customFormat="1" ht="16.5" customHeight="1" x14ac:dyDescent="0.3">
      <c r="A95" s="95"/>
      <c r="B95" s="31" t="s">
        <v>540</v>
      </c>
      <c r="C95" s="30">
        <v>37</v>
      </c>
      <c r="D95" s="10" t="s">
        <v>616</v>
      </c>
      <c r="E95" s="18">
        <v>0.4</v>
      </c>
      <c r="F95" s="11"/>
      <c r="G95" s="11" t="s">
        <v>615</v>
      </c>
      <c r="H95" s="11" t="s">
        <v>614</v>
      </c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>
        <v>3.5</v>
      </c>
      <c r="U95" s="11">
        <v>3.5</v>
      </c>
      <c r="V95" s="10">
        <f t="shared" si="10"/>
        <v>90</v>
      </c>
      <c r="W95" s="10"/>
      <c r="X95" s="10"/>
      <c r="Y95" s="10"/>
      <c r="Z95" s="10"/>
      <c r="AA95" s="10"/>
      <c r="AB95" s="10"/>
      <c r="AC95" s="10">
        <f>62+28</f>
        <v>90</v>
      </c>
      <c r="AD95" s="10"/>
      <c r="AE95" s="5"/>
      <c r="AF95" s="5"/>
      <c r="AG95" s="5"/>
      <c r="AH95" s="5"/>
      <c r="AI95" s="5"/>
      <c r="AJ95" s="5"/>
      <c r="AK95" s="34"/>
      <c r="AL95" s="33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</row>
    <row r="96" spans="1:54" s="1" customFormat="1" ht="16.5" customHeight="1" x14ac:dyDescent="0.3">
      <c r="A96" s="95"/>
      <c r="B96" s="31" t="s">
        <v>540</v>
      </c>
      <c r="C96" s="30">
        <v>38</v>
      </c>
      <c r="D96" s="10" t="s">
        <v>613</v>
      </c>
      <c r="E96" s="18">
        <v>0.4</v>
      </c>
      <c r="F96" s="11"/>
      <c r="G96" s="11" t="s">
        <v>612</v>
      </c>
      <c r="H96" s="11" t="s">
        <v>611</v>
      </c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 t="s">
        <v>18</v>
      </c>
      <c r="U96" s="11">
        <v>3</v>
      </c>
      <c r="V96" s="10">
        <f t="shared" si="10"/>
        <v>8</v>
      </c>
      <c r="W96" s="10"/>
      <c r="X96" s="10"/>
      <c r="Y96" s="10"/>
      <c r="Z96" s="10"/>
      <c r="AA96" s="10">
        <v>8</v>
      </c>
      <c r="AB96" s="10"/>
      <c r="AC96" s="10"/>
      <c r="AD96" s="10"/>
      <c r="AE96" s="5"/>
      <c r="AF96" s="5"/>
      <c r="AG96" s="5"/>
      <c r="AH96" s="5"/>
      <c r="AI96" s="5"/>
      <c r="AJ96" s="5"/>
      <c r="AK96" s="34"/>
      <c r="AL96" s="33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</row>
    <row r="97" spans="1:54" s="1" customFormat="1" ht="16.5" customHeight="1" x14ac:dyDescent="0.3">
      <c r="A97" s="95"/>
      <c r="B97" s="31" t="s">
        <v>540</v>
      </c>
      <c r="C97" s="30">
        <v>39</v>
      </c>
      <c r="D97" s="10" t="s">
        <v>610</v>
      </c>
      <c r="E97" s="18">
        <v>0.6</v>
      </c>
      <c r="F97" s="11"/>
      <c r="G97" s="11" t="s">
        <v>609</v>
      </c>
      <c r="H97" s="11" t="s">
        <v>608</v>
      </c>
      <c r="I97" s="11" t="s">
        <v>51</v>
      </c>
      <c r="J97" s="11" t="s">
        <v>607</v>
      </c>
      <c r="K97" s="11"/>
      <c r="L97" s="11"/>
      <c r="M97" s="11"/>
      <c r="N97" s="11"/>
      <c r="O97" s="11"/>
      <c r="P97" s="11" t="s">
        <v>51</v>
      </c>
      <c r="Q97" s="11"/>
      <c r="R97" s="11"/>
      <c r="S97" s="11"/>
      <c r="T97" s="11" t="s">
        <v>606</v>
      </c>
      <c r="U97" s="11" t="s">
        <v>605</v>
      </c>
      <c r="V97" s="10">
        <f t="shared" si="10"/>
        <v>31</v>
      </c>
      <c r="W97" s="10"/>
      <c r="X97" s="10">
        <f>31</f>
        <v>31</v>
      </c>
      <c r="Y97" s="10"/>
      <c r="Z97" s="10"/>
      <c r="AA97" s="10"/>
      <c r="AB97" s="10"/>
      <c r="AC97" s="10"/>
      <c r="AD97" s="10"/>
      <c r="AE97" s="5"/>
      <c r="AF97" s="5"/>
      <c r="AG97" s="5"/>
      <c r="AH97" s="5"/>
      <c r="AI97" s="5"/>
      <c r="AJ97" s="5"/>
      <c r="AK97" s="34"/>
      <c r="AL97" s="33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</row>
    <row r="98" spans="1:54" s="1" customFormat="1" ht="16.5" customHeight="1" x14ac:dyDescent="0.3">
      <c r="A98" s="95"/>
      <c r="B98" s="31" t="s">
        <v>540</v>
      </c>
      <c r="C98" s="30">
        <v>40</v>
      </c>
      <c r="D98" s="10" t="s">
        <v>604</v>
      </c>
      <c r="E98" s="18">
        <v>0.2</v>
      </c>
      <c r="F98" s="11"/>
      <c r="G98" s="11" t="s">
        <v>603</v>
      </c>
      <c r="H98" s="11" t="s">
        <v>602</v>
      </c>
      <c r="I98" s="11"/>
      <c r="J98" s="11"/>
      <c r="K98" s="11"/>
      <c r="L98" s="11"/>
      <c r="M98" s="11"/>
      <c r="N98" s="11"/>
      <c r="O98" s="11"/>
      <c r="P98" s="11" t="s">
        <v>51</v>
      </c>
      <c r="Q98" s="11"/>
      <c r="R98" s="11"/>
      <c r="S98" s="11"/>
      <c r="T98" s="11" t="s">
        <v>601</v>
      </c>
      <c r="U98" s="11">
        <v>2.2999999999999998</v>
      </c>
      <c r="V98" s="10">
        <f t="shared" si="10"/>
        <v>15</v>
      </c>
      <c r="W98" s="10"/>
      <c r="X98" s="10"/>
      <c r="Y98" s="10"/>
      <c r="Z98" s="10"/>
      <c r="AA98" s="10">
        <v>15</v>
      </c>
      <c r="AB98" s="10"/>
      <c r="AC98" s="10"/>
      <c r="AD98" s="10"/>
      <c r="AE98" s="5"/>
      <c r="AF98" s="5"/>
      <c r="AG98" s="5"/>
      <c r="AH98" s="5"/>
      <c r="AI98" s="5"/>
      <c r="AJ98" s="5"/>
      <c r="AK98" s="34"/>
      <c r="AL98" s="33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</row>
    <row r="99" spans="1:54" s="1" customFormat="1" ht="16.5" customHeight="1" x14ac:dyDescent="0.3">
      <c r="A99" s="95"/>
      <c r="B99" s="31" t="s">
        <v>540</v>
      </c>
      <c r="C99" s="30">
        <v>41</v>
      </c>
      <c r="D99" s="10" t="s">
        <v>600</v>
      </c>
      <c r="E99" s="18">
        <v>3</v>
      </c>
      <c r="F99" s="11"/>
      <c r="G99" s="11" t="s">
        <v>599</v>
      </c>
      <c r="H99" s="11" t="s">
        <v>598</v>
      </c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 t="s">
        <v>597</v>
      </c>
      <c r="U99" s="11" t="s">
        <v>597</v>
      </c>
      <c r="V99" s="10">
        <f t="shared" si="10"/>
        <v>36</v>
      </c>
      <c r="W99" s="10"/>
      <c r="X99" s="10"/>
      <c r="Y99" s="10"/>
      <c r="Z99" s="10"/>
      <c r="AA99" s="10"/>
      <c r="AB99" s="10">
        <f>18+18</f>
        <v>36</v>
      </c>
      <c r="AC99" s="10"/>
      <c r="AD99" s="10"/>
      <c r="AE99" s="5"/>
      <c r="AF99" s="5"/>
      <c r="AG99" s="5"/>
      <c r="AH99" s="5"/>
      <c r="AI99" s="5"/>
      <c r="AJ99" s="5"/>
      <c r="AK99" s="34"/>
      <c r="AL99" s="33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</row>
    <row r="100" spans="1:54" s="1" customFormat="1" ht="16.5" customHeight="1" x14ac:dyDescent="0.3">
      <c r="A100" s="95"/>
      <c r="B100" s="31" t="s">
        <v>540</v>
      </c>
      <c r="C100" s="30">
        <v>42</v>
      </c>
      <c r="D100" s="10" t="s">
        <v>596</v>
      </c>
      <c r="E100" s="18">
        <v>0.1</v>
      </c>
      <c r="F100" s="11"/>
      <c r="G100" s="11" t="s">
        <v>595</v>
      </c>
      <c r="H100" s="11" t="s">
        <v>594</v>
      </c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 t="s">
        <v>317</v>
      </c>
      <c r="U100" s="11" t="s">
        <v>317</v>
      </c>
      <c r="V100" s="10">
        <f t="shared" si="10"/>
        <v>29</v>
      </c>
      <c r="W100" s="10"/>
      <c r="X100" s="10"/>
      <c r="Y100" s="10"/>
      <c r="Z100" s="10"/>
      <c r="AA100" s="10"/>
      <c r="AB100" s="10">
        <f>15+14</f>
        <v>29</v>
      </c>
      <c r="AC100" s="10"/>
      <c r="AD100" s="10"/>
      <c r="AE100" s="5"/>
      <c r="AF100" s="5"/>
      <c r="AG100" s="5"/>
      <c r="AH100" s="5"/>
      <c r="AI100" s="5"/>
      <c r="AJ100" s="5"/>
      <c r="AK100" s="34"/>
      <c r="AL100" s="33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</row>
    <row r="101" spans="1:54" s="1" customFormat="1" ht="16.5" customHeight="1" x14ac:dyDescent="0.3">
      <c r="A101" s="95"/>
      <c r="B101" s="31" t="s">
        <v>540</v>
      </c>
      <c r="C101" s="30">
        <v>43</v>
      </c>
      <c r="D101" s="10" t="s">
        <v>593</v>
      </c>
      <c r="E101" s="18">
        <v>0.2</v>
      </c>
      <c r="F101" s="11"/>
      <c r="G101" s="11" t="s">
        <v>592</v>
      </c>
      <c r="H101" s="11" t="s">
        <v>591</v>
      </c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 t="s">
        <v>590</v>
      </c>
      <c r="U101" s="11" t="s">
        <v>589</v>
      </c>
      <c r="V101" s="10">
        <f t="shared" si="10"/>
        <v>4</v>
      </c>
      <c r="W101" s="10"/>
      <c r="X101" s="10"/>
      <c r="Y101" s="10"/>
      <c r="Z101" s="10"/>
      <c r="AA101" s="10">
        <v>4</v>
      </c>
      <c r="AB101" s="10"/>
      <c r="AC101" s="10"/>
      <c r="AD101" s="10"/>
      <c r="AE101" s="5"/>
      <c r="AF101" s="5"/>
      <c r="AG101" s="5"/>
      <c r="AH101" s="5"/>
      <c r="AI101" s="5"/>
      <c r="AJ101" s="5"/>
      <c r="AK101" s="34"/>
      <c r="AL101" s="33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</row>
    <row r="102" spans="1:54" s="1" customFormat="1" ht="16.5" customHeight="1" x14ac:dyDescent="0.3">
      <c r="A102" s="95"/>
      <c r="B102" s="31" t="s">
        <v>540</v>
      </c>
      <c r="C102" s="30">
        <v>44</v>
      </c>
      <c r="D102" s="10" t="s">
        <v>588</v>
      </c>
      <c r="E102" s="18">
        <v>0.4</v>
      </c>
      <c r="F102" s="11"/>
      <c r="G102" s="11" t="s">
        <v>587</v>
      </c>
      <c r="H102" s="11" t="s">
        <v>586</v>
      </c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 t="s">
        <v>585</v>
      </c>
      <c r="U102" s="11" t="s">
        <v>585</v>
      </c>
      <c r="V102" s="10">
        <f t="shared" si="10"/>
        <v>14</v>
      </c>
      <c r="W102" s="10"/>
      <c r="X102" s="10"/>
      <c r="Y102" s="10"/>
      <c r="Z102" s="10"/>
      <c r="AA102" s="10"/>
      <c r="AB102" s="10"/>
      <c r="AC102" s="10">
        <v>14</v>
      </c>
      <c r="AD102" s="10"/>
      <c r="AE102" s="5"/>
      <c r="AF102" s="5"/>
      <c r="AG102" s="5"/>
      <c r="AH102" s="5"/>
      <c r="AI102" s="5"/>
      <c r="AJ102" s="5"/>
      <c r="AK102" s="34"/>
      <c r="AL102" s="33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</row>
    <row r="103" spans="1:54" s="1" customFormat="1" ht="16.5" customHeight="1" x14ac:dyDescent="0.3">
      <c r="A103" s="95"/>
      <c r="B103" s="31" t="s">
        <v>540</v>
      </c>
      <c r="C103" s="30">
        <v>45</v>
      </c>
      <c r="D103" s="10" t="s">
        <v>584</v>
      </c>
      <c r="E103" s="18">
        <v>0.6</v>
      </c>
      <c r="F103" s="11"/>
      <c r="G103" s="11" t="s">
        <v>583</v>
      </c>
      <c r="H103" s="11" t="s">
        <v>582</v>
      </c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>
        <v>3</v>
      </c>
      <c r="U103" s="11">
        <v>3.3</v>
      </c>
      <c r="V103" s="10">
        <f t="shared" si="10"/>
        <v>141</v>
      </c>
      <c r="W103" s="10"/>
      <c r="X103" s="10"/>
      <c r="Y103" s="10"/>
      <c r="Z103" s="10"/>
      <c r="AA103" s="10">
        <f>89+52</f>
        <v>141</v>
      </c>
      <c r="AB103" s="10"/>
      <c r="AC103" s="10"/>
      <c r="AD103" s="10"/>
      <c r="AE103" s="5"/>
      <c r="AF103" s="5"/>
      <c r="AG103" s="5"/>
      <c r="AH103" s="5"/>
      <c r="AI103" s="5"/>
      <c r="AJ103" s="5"/>
      <c r="AK103" s="34"/>
      <c r="AL103" s="33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</row>
    <row r="104" spans="1:54" s="1" customFormat="1" ht="16.5" customHeight="1" x14ac:dyDescent="0.3">
      <c r="A104" s="95"/>
      <c r="B104" s="31" t="s">
        <v>540</v>
      </c>
      <c r="C104" s="30">
        <v>46</v>
      </c>
      <c r="D104" s="10" t="s">
        <v>581</v>
      </c>
      <c r="E104" s="18">
        <v>0.5</v>
      </c>
      <c r="F104" s="11"/>
      <c r="G104" s="11" t="s">
        <v>580</v>
      </c>
      <c r="H104" s="11" t="s">
        <v>579</v>
      </c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>
        <v>2.4</v>
      </c>
      <c r="U104" s="11" t="s">
        <v>18</v>
      </c>
      <c r="V104" s="10">
        <f t="shared" si="10"/>
        <v>51</v>
      </c>
      <c r="W104" s="10"/>
      <c r="X104" s="10"/>
      <c r="Y104" s="10"/>
      <c r="Z104" s="10"/>
      <c r="AA104" s="10"/>
      <c r="AB104" s="10">
        <f>51</f>
        <v>51</v>
      </c>
      <c r="AC104" s="10"/>
      <c r="AD104" s="10"/>
      <c r="AE104" s="5"/>
      <c r="AF104" s="5"/>
      <c r="AG104" s="5"/>
      <c r="AH104" s="5"/>
      <c r="AI104" s="5"/>
      <c r="AJ104" s="5"/>
      <c r="AK104" s="34"/>
      <c r="AL104" s="33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</row>
    <row r="105" spans="1:54" s="1" customFormat="1" ht="16.5" customHeight="1" x14ac:dyDescent="0.3">
      <c r="A105" s="95"/>
      <c r="B105" s="31" t="s">
        <v>540</v>
      </c>
      <c r="C105" s="30">
        <v>47</v>
      </c>
      <c r="D105" s="10" t="s">
        <v>578</v>
      </c>
      <c r="E105" s="18">
        <v>0.4</v>
      </c>
      <c r="F105" s="11"/>
      <c r="G105" s="11" t="s">
        <v>577</v>
      </c>
      <c r="H105" s="11" t="s">
        <v>576</v>
      </c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 t="s">
        <v>575</v>
      </c>
      <c r="U105" s="11" t="s">
        <v>574</v>
      </c>
      <c r="V105" s="10">
        <f t="shared" si="10"/>
        <v>64</v>
      </c>
      <c r="W105" s="10"/>
      <c r="X105" s="10"/>
      <c r="Y105" s="10"/>
      <c r="Z105" s="10"/>
      <c r="AA105" s="10"/>
      <c r="AB105" s="10"/>
      <c r="AC105" s="10">
        <f>28+36</f>
        <v>64</v>
      </c>
      <c r="AD105" s="10"/>
      <c r="AE105" s="5"/>
      <c r="AF105" s="5"/>
      <c r="AG105" s="5"/>
      <c r="AH105" s="5"/>
      <c r="AI105" s="5"/>
      <c r="AJ105" s="5"/>
      <c r="AK105" s="34"/>
      <c r="AL105" s="33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</row>
    <row r="106" spans="1:54" s="1" customFormat="1" ht="16.5" customHeight="1" x14ac:dyDescent="0.3">
      <c r="A106" s="95"/>
      <c r="B106" s="31" t="s">
        <v>540</v>
      </c>
      <c r="C106" s="30">
        <v>48</v>
      </c>
      <c r="D106" s="10" t="s">
        <v>573</v>
      </c>
      <c r="E106" s="18">
        <v>0.2</v>
      </c>
      <c r="F106" s="11"/>
      <c r="G106" s="11" t="s">
        <v>572</v>
      </c>
      <c r="H106" s="11" t="s">
        <v>174</v>
      </c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>
        <v>3.6</v>
      </c>
      <c r="U106" s="11">
        <v>3.6</v>
      </c>
      <c r="V106" s="10">
        <f t="shared" si="10"/>
        <v>33</v>
      </c>
      <c r="W106" s="10"/>
      <c r="X106" s="10"/>
      <c r="Y106" s="10"/>
      <c r="Z106" s="10"/>
      <c r="AA106" s="10"/>
      <c r="AB106" s="10">
        <f>18+15</f>
        <v>33</v>
      </c>
      <c r="AC106" s="10"/>
      <c r="AD106" s="10"/>
      <c r="AE106" s="5"/>
      <c r="AF106" s="5"/>
      <c r="AG106" s="5"/>
      <c r="AH106" s="5"/>
      <c r="AI106" s="5"/>
      <c r="AJ106" s="5"/>
      <c r="AK106" s="34"/>
      <c r="AL106" s="33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</row>
    <row r="107" spans="1:54" s="1" customFormat="1" ht="16.5" customHeight="1" x14ac:dyDescent="0.3">
      <c r="A107" s="95"/>
      <c r="B107" s="31" t="s">
        <v>540</v>
      </c>
      <c r="C107" s="30">
        <v>49</v>
      </c>
      <c r="D107" s="10" t="s">
        <v>571</v>
      </c>
      <c r="E107" s="18">
        <v>0.2</v>
      </c>
      <c r="F107" s="11"/>
      <c r="G107" s="11" t="s">
        <v>570</v>
      </c>
      <c r="H107" s="11" t="s">
        <v>568</v>
      </c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>
        <v>2.8</v>
      </c>
      <c r="U107" s="11">
        <v>2.8</v>
      </c>
      <c r="V107" s="10">
        <f t="shared" si="10"/>
        <v>38</v>
      </c>
      <c r="W107" s="10"/>
      <c r="X107" s="10"/>
      <c r="Y107" s="10"/>
      <c r="Z107" s="10"/>
      <c r="AA107" s="10"/>
      <c r="AB107" s="10"/>
      <c r="AC107" s="10">
        <f>20+18</f>
        <v>38</v>
      </c>
      <c r="AD107" s="10"/>
      <c r="AE107" s="5"/>
      <c r="AF107" s="5"/>
      <c r="AG107" s="5"/>
      <c r="AH107" s="5"/>
      <c r="AI107" s="5"/>
      <c r="AJ107" s="5"/>
      <c r="AK107" s="34"/>
      <c r="AL107" s="33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</row>
    <row r="108" spans="1:54" s="1" customFormat="1" ht="16.5" customHeight="1" x14ac:dyDescent="0.3">
      <c r="A108" s="95"/>
      <c r="B108" s="31" t="s">
        <v>540</v>
      </c>
      <c r="C108" s="30">
        <v>50</v>
      </c>
      <c r="D108" s="10" t="s">
        <v>569</v>
      </c>
      <c r="E108" s="18">
        <v>0.2</v>
      </c>
      <c r="F108" s="11"/>
      <c r="G108" s="11" t="s">
        <v>568</v>
      </c>
      <c r="H108" s="11" t="s">
        <v>567</v>
      </c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>
        <v>2.1</v>
      </c>
      <c r="U108" s="11">
        <v>2.1</v>
      </c>
      <c r="V108" s="10">
        <f t="shared" si="10"/>
        <v>37</v>
      </c>
      <c r="W108" s="10"/>
      <c r="X108" s="10"/>
      <c r="Y108" s="10"/>
      <c r="Z108" s="10"/>
      <c r="AA108" s="10"/>
      <c r="AB108" s="10"/>
      <c r="AC108" s="10">
        <f>19+18</f>
        <v>37</v>
      </c>
      <c r="AD108" s="10"/>
      <c r="AE108" s="5"/>
      <c r="AF108" s="5"/>
      <c r="AG108" s="5"/>
      <c r="AH108" s="5"/>
      <c r="AI108" s="5"/>
      <c r="AJ108" s="5"/>
      <c r="AK108" s="34"/>
      <c r="AL108" s="33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</row>
    <row r="109" spans="1:54" s="1" customFormat="1" ht="16.5" customHeight="1" x14ac:dyDescent="0.3">
      <c r="A109" s="95"/>
      <c r="B109" s="31" t="s">
        <v>540</v>
      </c>
      <c r="C109" s="30">
        <v>51</v>
      </c>
      <c r="D109" s="10" t="s">
        <v>566</v>
      </c>
      <c r="E109" s="18">
        <v>0.2</v>
      </c>
      <c r="F109" s="11"/>
      <c r="G109" s="11" t="s">
        <v>565</v>
      </c>
      <c r="H109" s="11" t="s">
        <v>564</v>
      </c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 t="s">
        <v>563</v>
      </c>
      <c r="U109" s="11">
        <v>2.1</v>
      </c>
      <c r="V109" s="10">
        <f t="shared" si="10"/>
        <v>39</v>
      </c>
      <c r="W109" s="10"/>
      <c r="X109" s="10"/>
      <c r="Y109" s="10"/>
      <c r="Z109" s="10"/>
      <c r="AA109" s="10"/>
      <c r="AB109" s="10"/>
      <c r="AC109" s="10">
        <f>26+13</f>
        <v>39</v>
      </c>
      <c r="AD109" s="10"/>
      <c r="AE109" s="5"/>
      <c r="AF109" s="5"/>
      <c r="AG109" s="5"/>
      <c r="AH109" s="5"/>
      <c r="AI109" s="5"/>
      <c r="AJ109" s="5"/>
      <c r="AK109" s="34"/>
      <c r="AL109" s="33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</row>
    <row r="110" spans="1:54" s="1" customFormat="1" ht="16.5" customHeight="1" x14ac:dyDescent="0.3">
      <c r="A110" s="95"/>
      <c r="B110" s="31" t="s">
        <v>540</v>
      </c>
      <c r="C110" s="30">
        <v>52</v>
      </c>
      <c r="D110" s="10" t="s">
        <v>562</v>
      </c>
      <c r="E110" s="18">
        <v>0.2</v>
      </c>
      <c r="F110" s="11"/>
      <c r="G110" s="11" t="s">
        <v>561</v>
      </c>
      <c r="H110" s="11" t="s">
        <v>560</v>
      </c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>
        <v>2.6</v>
      </c>
      <c r="U110" s="11">
        <v>2.6</v>
      </c>
      <c r="V110" s="10">
        <f t="shared" si="10"/>
        <v>11</v>
      </c>
      <c r="W110" s="10"/>
      <c r="X110" s="10"/>
      <c r="Y110" s="10"/>
      <c r="Z110" s="10"/>
      <c r="AA110" s="10">
        <v>11</v>
      </c>
      <c r="AB110" s="10"/>
      <c r="AC110" s="10"/>
      <c r="AD110" s="10"/>
      <c r="AE110" s="5"/>
      <c r="AF110" s="5"/>
      <c r="AG110" s="5"/>
      <c r="AH110" s="5"/>
      <c r="AI110" s="5"/>
      <c r="AJ110" s="5"/>
      <c r="AK110" s="34"/>
      <c r="AL110" s="33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</row>
    <row r="111" spans="1:54" s="1" customFormat="1" ht="16.5" customHeight="1" x14ac:dyDescent="0.3">
      <c r="A111" s="95"/>
      <c r="B111" s="31" t="s">
        <v>540</v>
      </c>
      <c r="C111" s="30">
        <v>53</v>
      </c>
      <c r="D111" s="10" t="s">
        <v>559</v>
      </c>
      <c r="E111" s="18">
        <v>0.2</v>
      </c>
      <c r="F111" s="11"/>
      <c r="G111" s="11" t="s">
        <v>558</v>
      </c>
      <c r="H111" s="11" t="s">
        <v>557</v>
      </c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 t="s">
        <v>556</v>
      </c>
      <c r="U111" s="11" t="s">
        <v>556</v>
      </c>
      <c r="V111" s="10">
        <f t="shared" si="10"/>
        <v>16</v>
      </c>
      <c r="W111" s="10"/>
      <c r="X111" s="10"/>
      <c r="Y111" s="10"/>
      <c r="Z111" s="10"/>
      <c r="AA111" s="10"/>
      <c r="AB111" s="10"/>
      <c r="AC111" s="10">
        <v>16</v>
      </c>
      <c r="AD111" s="10"/>
      <c r="AE111" s="5"/>
      <c r="AF111" s="5"/>
      <c r="AG111" s="5"/>
      <c r="AH111" s="5"/>
      <c r="AI111" s="5"/>
      <c r="AJ111" s="5"/>
      <c r="AK111" s="34"/>
      <c r="AL111" s="33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1:54" s="1" customFormat="1" ht="16.5" customHeight="1" x14ac:dyDescent="0.3">
      <c r="A112" s="32"/>
      <c r="B112" s="31" t="s">
        <v>540</v>
      </c>
      <c r="C112" s="30">
        <v>54</v>
      </c>
      <c r="D112" s="10" t="s">
        <v>555</v>
      </c>
      <c r="E112" s="18">
        <v>0.3</v>
      </c>
      <c r="F112" s="11"/>
      <c r="G112" s="11" t="s">
        <v>554</v>
      </c>
      <c r="H112" s="11" t="s">
        <v>553</v>
      </c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>
        <v>2</v>
      </c>
      <c r="U112" s="11">
        <v>2</v>
      </c>
      <c r="V112" s="10">
        <f t="shared" si="10"/>
        <v>54</v>
      </c>
      <c r="W112" s="10"/>
      <c r="X112" s="10"/>
      <c r="Y112" s="10"/>
      <c r="Z112" s="10"/>
      <c r="AA112" s="10">
        <v>54</v>
      </c>
      <c r="AB112" s="10"/>
      <c r="AC112" s="10"/>
      <c r="AD112" s="10"/>
      <c r="AE112" s="5"/>
      <c r="AF112" s="5"/>
      <c r="AG112" s="5"/>
      <c r="AH112" s="5"/>
      <c r="AI112" s="5"/>
      <c r="AJ112" s="5"/>
      <c r="AK112" s="34"/>
      <c r="AL112" s="33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</row>
    <row r="113" spans="1:54" s="1" customFormat="1" ht="16.5" customHeight="1" x14ac:dyDescent="0.3">
      <c r="A113" s="32"/>
      <c r="B113" s="31" t="s">
        <v>540</v>
      </c>
      <c r="C113" s="30">
        <v>55</v>
      </c>
      <c r="D113" s="10" t="s">
        <v>552</v>
      </c>
      <c r="E113" s="18">
        <v>0.2</v>
      </c>
      <c r="F113" s="11"/>
      <c r="G113" s="11" t="s">
        <v>551</v>
      </c>
      <c r="H113" s="11" t="s">
        <v>550</v>
      </c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>
        <v>2.4</v>
      </c>
      <c r="U113" s="11">
        <v>2.4</v>
      </c>
      <c r="V113" s="10">
        <f t="shared" si="10"/>
        <v>29</v>
      </c>
      <c r="W113" s="10"/>
      <c r="X113" s="10"/>
      <c r="Y113" s="10"/>
      <c r="Z113" s="10"/>
      <c r="AA113" s="10">
        <v>29</v>
      </c>
      <c r="AB113" s="10"/>
      <c r="AC113" s="10"/>
      <c r="AD113" s="10"/>
      <c r="AE113" s="5"/>
      <c r="AF113" s="5"/>
      <c r="AG113" s="5"/>
      <c r="AH113" s="5"/>
      <c r="AI113" s="5"/>
      <c r="AJ113" s="5"/>
      <c r="AK113" s="34"/>
      <c r="AL113" s="33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1:54" s="1" customFormat="1" ht="16.5" customHeight="1" x14ac:dyDescent="0.3">
      <c r="A114" s="32"/>
      <c r="B114" s="31" t="s">
        <v>540</v>
      </c>
      <c r="C114" s="30">
        <v>56</v>
      </c>
      <c r="D114" s="10" t="s">
        <v>549</v>
      </c>
      <c r="E114" s="18">
        <v>0.3</v>
      </c>
      <c r="F114" s="11"/>
      <c r="G114" s="11" t="s">
        <v>548</v>
      </c>
      <c r="H114" s="11" t="s">
        <v>547</v>
      </c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>
        <v>2.4</v>
      </c>
      <c r="U114" s="11">
        <v>2.4</v>
      </c>
      <c r="V114" s="10">
        <f t="shared" si="10"/>
        <v>25</v>
      </c>
      <c r="W114" s="10"/>
      <c r="X114" s="10"/>
      <c r="Y114" s="10"/>
      <c r="Z114" s="10"/>
      <c r="AA114" s="10"/>
      <c r="AB114" s="10"/>
      <c r="AC114" s="10">
        <v>25</v>
      </c>
      <c r="AD114" s="10"/>
      <c r="AE114" s="5"/>
      <c r="AF114" s="5"/>
      <c r="AG114" s="5"/>
      <c r="AH114" s="5"/>
      <c r="AI114" s="5"/>
      <c r="AJ114" s="5"/>
      <c r="AK114" s="34"/>
      <c r="AL114" s="33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</row>
    <row r="115" spans="1:54" s="1" customFormat="1" ht="16.5" customHeight="1" x14ac:dyDescent="0.3">
      <c r="A115" s="32"/>
      <c r="B115" s="31" t="s">
        <v>540</v>
      </c>
      <c r="C115" s="30">
        <v>57</v>
      </c>
      <c r="D115" s="10" t="s">
        <v>546</v>
      </c>
      <c r="E115" s="18">
        <v>0.8</v>
      </c>
      <c r="F115" s="11"/>
      <c r="G115" s="11" t="s">
        <v>545</v>
      </c>
      <c r="H115" s="11" t="s">
        <v>544</v>
      </c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>
        <v>2.4</v>
      </c>
      <c r="U115" s="11">
        <v>2.4</v>
      </c>
      <c r="V115" s="10">
        <f t="shared" si="10"/>
        <v>139</v>
      </c>
      <c r="W115" s="10"/>
      <c r="X115" s="10"/>
      <c r="Y115" s="10"/>
      <c r="Z115" s="10"/>
      <c r="AA115" s="10"/>
      <c r="AB115" s="10"/>
      <c r="AC115" s="10">
        <v>139</v>
      </c>
      <c r="AD115" s="10"/>
      <c r="AE115" s="5"/>
      <c r="AF115" s="5"/>
      <c r="AG115" s="5"/>
      <c r="AH115" s="5"/>
      <c r="AI115" s="5"/>
      <c r="AJ115" s="5"/>
      <c r="AK115" s="34"/>
      <c r="AL115" s="33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1:54" s="1" customFormat="1" ht="16.5" customHeight="1" x14ac:dyDescent="0.3">
      <c r="A116" s="32"/>
      <c r="B116" s="31" t="s">
        <v>540</v>
      </c>
      <c r="C116" s="30">
        <v>58</v>
      </c>
      <c r="D116" s="10" t="s">
        <v>543</v>
      </c>
      <c r="E116" s="35">
        <v>0.06</v>
      </c>
      <c r="F116" s="11"/>
      <c r="G116" s="11" t="s">
        <v>542</v>
      </c>
      <c r="H116" s="11" t="s">
        <v>541</v>
      </c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>
        <v>1.6</v>
      </c>
      <c r="U116" s="11">
        <v>1.6</v>
      </c>
      <c r="V116" s="10">
        <f t="shared" si="10"/>
        <v>28</v>
      </c>
      <c r="W116" s="10"/>
      <c r="X116" s="10"/>
      <c r="Y116" s="10"/>
      <c r="Z116" s="10"/>
      <c r="AA116" s="10"/>
      <c r="AB116" s="10"/>
      <c r="AC116" s="10">
        <v>28</v>
      </c>
      <c r="AD116" s="10"/>
      <c r="AE116" s="5"/>
      <c r="AF116" s="5"/>
      <c r="AG116" s="5"/>
      <c r="AH116" s="5"/>
      <c r="AI116" s="5"/>
      <c r="AJ116" s="5"/>
      <c r="AK116" s="34"/>
      <c r="AL116" s="33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</row>
    <row r="117" spans="1:54" s="1" customFormat="1" ht="16.5" customHeight="1" x14ac:dyDescent="0.3">
      <c r="A117" s="32"/>
      <c r="B117" s="31" t="s">
        <v>540</v>
      </c>
      <c r="C117" s="30">
        <v>59</v>
      </c>
      <c r="D117" s="10" t="s">
        <v>539</v>
      </c>
      <c r="E117" s="18">
        <v>0.3</v>
      </c>
      <c r="F117" s="11"/>
      <c r="G117" s="11" t="s">
        <v>538</v>
      </c>
      <c r="H117" s="11" t="s">
        <v>537</v>
      </c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>
        <v>1.6</v>
      </c>
      <c r="U117" s="11">
        <v>1.6</v>
      </c>
      <c r="V117" s="10">
        <f t="shared" si="10"/>
        <v>58</v>
      </c>
      <c r="W117" s="10"/>
      <c r="X117" s="10"/>
      <c r="Y117" s="10"/>
      <c r="Z117" s="10"/>
      <c r="AA117" s="10"/>
      <c r="AB117" s="10"/>
      <c r="AC117" s="10">
        <v>58</v>
      </c>
      <c r="AD117" s="10"/>
      <c r="AE117" s="5"/>
      <c r="AF117" s="5"/>
      <c r="AG117" s="5"/>
      <c r="AH117" s="5"/>
      <c r="AI117" s="5"/>
      <c r="AJ117" s="5"/>
      <c r="AK117" s="8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</row>
    <row r="118" spans="1:54" s="24" customFormat="1" ht="16.5" customHeight="1" x14ac:dyDescent="0.3">
      <c r="A118" s="95" t="s">
        <v>536</v>
      </c>
      <c r="B118" s="15"/>
      <c r="C118" s="15"/>
      <c r="D118" s="26" t="s">
        <v>535</v>
      </c>
      <c r="E118" s="29">
        <f>SUM(E119:E280)+5</f>
        <v>179.25999999999991</v>
      </c>
      <c r="F118" s="28"/>
      <c r="G118" s="29"/>
      <c r="H118" s="29" t="s">
        <v>310</v>
      </c>
      <c r="I118" s="28">
        <f>COUNTA(I119:I271)</f>
        <v>1</v>
      </c>
      <c r="J118" s="28"/>
      <c r="K118" s="28">
        <f>COUNTA(K119:K271)</f>
        <v>5</v>
      </c>
      <c r="L118" s="28"/>
      <c r="M118" s="28"/>
      <c r="N118" s="28">
        <f>COUNTA(N119:N271)</f>
        <v>24</v>
      </c>
      <c r="O118" s="28">
        <f>COUNTA(O119:O271)</f>
        <v>2</v>
      </c>
      <c r="P118" s="28">
        <f>COUNTA(P119:P271)</f>
        <v>0</v>
      </c>
      <c r="Q118" s="28">
        <f>COUNTA(Q119:Q271)</f>
        <v>18</v>
      </c>
      <c r="R118" s="28"/>
      <c r="S118" s="28">
        <f>COUNTA(S119:S271)</f>
        <v>13</v>
      </c>
      <c r="T118" s="27"/>
      <c r="U118" s="27"/>
      <c r="V118" s="26">
        <f>SUM(V119:V280)</f>
        <v>32792</v>
      </c>
      <c r="W118" s="26">
        <f>SUM(W119:W280)</f>
        <v>8918</v>
      </c>
      <c r="X118" s="26">
        <f>SUM(X119:X271)</f>
        <v>4005</v>
      </c>
      <c r="Y118" s="26">
        <f>SUM(Y119:Y271)</f>
        <v>2763</v>
      </c>
      <c r="Z118" s="26">
        <f>SUM(Z119:Z271)</f>
        <v>427</v>
      </c>
      <c r="AA118" s="26">
        <f>SUM(AA119:AA271)</f>
        <v>10474</v>
      </c>
      <c r="AB118" s="26">
        <f>SUM(AB119:AB271)</f>
        <v>2182</v>
      </c>
      <c r="AC118" s="26">
        <f>SUM(AC119:AC279)</f>
        <v>1351</v>
      </c>
      <c r="AD118" s="26">
        <f>SUM(AD119:AD271)</f>
        <v>244</v>
      </c>
      <c r="AE118" s="26">
        <f t="shared" ref="AE118:AL118" si="11">SUM(AE119:AE279)</f>
        <v>514</v>
      </c>
      <c r="AF118" s="26">
        <f t="shared" si="11"/>
        <v>115</v>
      </c>
      <c r="AG118" s="26">
        <f t="shared" si="11"/>
        <v>1188</v>
      </c>
      <c r="AH118" s="26">
        <f t="shared" si="11"/>
        <v>133</v>
      </c>
      <c r="AI118" s="26">
        <f t="shared" si="11"/>
        <v>64</v>
      </c>
      <c r="AJ118" s="26">
        <f t="shared" si="11"/>
        <v>67</v>
      </c>
      <c r="AK118" s="26">
        <f t="shared" si="11"/>
        <v>317</v>
      </c>
      <c r="AL118" s="26">
        <f t="shared" si="11"/>
        <v>30</v>
      </c>
      <c r="AO118" s="25">
        <f t="shared" ref="AO118:BA118" si="12">W118/$V118</f>
        <v>0.27195657477433521</v>
      </c>
      <c r="AP118" s="25">
        <f t="shared" si="12"/>
        <v>0.12213344718223958</v>
      </c>
      <c r="AQ118" s="25">
        <f t="shared" si="12"/>
        <v>8.4258355696511342E-2</v>
      </c>
      <c r="AR118" s="25">
        <f t="shared" si="12"/>
        <v>1.3021468650890461E-2</v>
      </c>
      <c r="AS118" s="25">
        <f t="shared" si="12"/>
        <v>0.31940717248109296</v>
      </c>
      <c r="AT118" s="25">
        <f t="shared" si="12"/>
        <v>6.6540619663332523E-2</v>
      </c>
      <c r="AU118" s="25">
        <f t="shared" si="12"/>
        <v>4.1199072944620642E-2</v>
      </c>
      <c r="AV118" s="25">
        <f t="shared" si="12"/>
        <v>7.4408392290802637E-3</v>
      </c>
      <c r="AW118" s="25">
        <f t="shared" si="12"/>
        <v>1.5674554769455964E-2</v>
      </c>
      <c r="AX118" s="25">
        <f t="shared" si="12"/>
        <v>3.5069529153452061E-3</v>
      </c>
      <c r="AY118" s="25">
        <f t="shared" si="12"/>
        <v>3.6228348377653083E-2</v>
      </c>
      <c r="AZ118" s="25">
        <f t="shared" si="12"/>
        <v>4.0558672847035866E-3</v>
      </c>
      <c r="BA118" s="25">
        <f t="shared" si="12"/>
        <v>1.9516955354964625E-3</v>
      </c>
      <c r="BB118" s="25" t="e">
        <f>#REF!/$V118</f>
        <v>#REF!</v>
      </c>
    </row>
    <row r="119" spans="1:54" s="1" customFormat="1" ht="16.5" customHeight="1" x14ac:dyDescent="0.3">
      <c r="A119" s="95"/>
      <c r="B119" s="15" t="s">
        <v>17</v>
      </c>
      <c r="C119" s="15">
        <v>1</v>
      </c>
      <c r="D119" s="10" t="s">
        <v>534</v>
      </c>
      <c r="E119" s="13">
        <v>2.6</v>
      </c>
      <c r="F119" s="23"/>
      <c r="G119" s="12" t="s">
        <v>533</v>
      </c>
      <c r="H119" s="12" t="s">
        <v>532</v>
      </c>
      <c r="I119" s="12"/>
      <c r="J119" s="12"/>
      <c r="K119" s="12"/>
      <c r="L119" s="12"/>
      <c r="M119" s="12"/>
      <c r="N119" s="12"/>
      <c r="O119" s="12"/>
      <c r="P119" s="23"/>
      <c r="Q119" s="23"/>
      <c r="R119" s="23"/>
      <c r="S119" s="23"/>
      <c r="T119" s="11">
        <v>6</v>
      </c>
      <c r="U119" s="11">
        <v>6</v>
      </c>
      <c r="V119" s="10">
        <f t="shared" ref="V119:V150" si="13">SUM(W119:AJ119)</f>
        <v>637</v>
      </c>
      <c r="W119" s="10"/>
      <c r="X119" s="10"/>
      <c r="Y119" s="10"/>
      <c r="Z119" s="10"/>
      <c r="AA119" s="10">
        <v>26</v>
      </c>
      <c r="AB119" s="10">
        <f>205+219+187</f>
        <v>611</v>
      </c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</row>
    <row r="120" spans="1:54" s="1" customFormat="1" ht="16.5" customHeight="1" x14ac:dyDescent="0.3">
      <c r="A120" s="95"/>
      <c r="B120" s="15" t="s">
        <v>17</v>
      </c>
      <c r="C120" s="15">
        <v>2</v>
      </c>
      <c r="D120" s="10" t="s">
        <v>531</v>
      </c>
      <c r="E120" s="13">
        <v>7</v>
      </c>
      <c r="F120" s="23"/>
      <c r="G120" s="12" t="s">
        <v>530</v>
      </c>
      <c r="H120" s="12" t="s">
        <v>529</v>
      </c>
      <c r="I120" s="12"/>
      <c r="J120" s="12"/>
      <c r="K120" s="23"/>
      <c r="L120" s="23"/>
      <c r="M120" s="23"/>
      <c r="N120" s="12"/>
      <c r="O120" s="12"/>
      <c r="P120" s="23"/>
      <c r="Q120" s="23"/>
      <c r="R120" s="23"/>
      <c r="S120" s="23"/>
      <c r="T120" s="11" t="s">
        <v>50</v>
      </c>
      <c r="U120" s="11" t="s">
        <v>50</v>
      </c>
      <c r="V120" s="10">
        <f t="shared" si="13"/>
        <v>943</v>
      </c>
      <c r="W120" s="10">
        <f>[1]은행나무!G38</f>
        <v>40</v>
      </c>
      <c r="X120" s="10">
        <f>15+15</f>
        <v>30</v>
      </c>
      <c r="Y120" s="10"/>
      <c r="Z120" s="10"/>
      <c r="AA120" s="10">
        <f>460+50+363</f>
        <v>873</v>
      </c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</row>
    <row r="121" spans="1:54" s="1" customFormat="1" ht="16.5" customHeight="1" x14ac:dyDescent="0.3">
      <c r="A121" s="95"/>
      <c r="B121" s="15" t="s">
        <v>17</v>
      </c>
      <c r="C121" s="15">
        <v>3</v>
      </c>
      <c r="D121" s="10" t="s">
        <v>528</v>
      </c>
      <c r="E121" s="13">
        <v>3.4</v>
      </c>
      <c r="F121" s="23" t="s">
        <v>224</v>
      </c>
      <c r="G121" s="12" t="s">
        <v>527</v>
      </c>
      <c r="H121" s="12" t="s">
        <v>526</v>
      </c>
      <c r="I121" s="12"/>
      <c r="J121" s="12"/>
      <c r="K121" s="12"/>
      <c r="L121" s="12"/>
      <c r="M121" s="12"/>
      <c r="N121" s="12"/>
      <c r="O121" s="12"/>
      <c r="P121" s="23"/>
      <c r="Q121" s="23" t="s">
        <v>70</v>
      </c>
      <c r="R121" s="11" t="s">
        <v>221</v>
      </c>
      <c r="S121" s="23"/>
      <c r="T121" s="11" t="s">
        <v>525</v>
      </c>
      <c r="U121" s="11" t="s">
        <v>525</v>
      </c>
      <c r="V121" s="10">
        <f t="shared" si="13"/>
        <v>1053</v>
      </c>
      <c r="W121" s="10"/>
      <c r="X121" s="10"/>
      <c r="Y121" s="10"/>
      <c r="Z121" s="10"/>
      <c r="AA121" s="10">
        <f>273+282+249</f>
        <v>804</v>
      </c>
      <c r="AB121" s="10"/>
      <c r="AC121" s="10"/>
      <c r="AD121" s="10"/>
      <c r="AE121" s="10">
        <f>249</f>
        <v>249</v>
      </c>
      <c r="AF121" s="10"/>
      <c r="AG121" s="10"/>
      <c r="AH121" s="10"/>
      <c r="AI121" s="10"/>
      <c r="AJ121" s="10"/>
      <c r="AK121" s="10"/>
      <c r="AL121" s="10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</row>
    <row r="122" spans="1:54" s="1" customFormat="1" ht="16.5" customHeight="1" x14ac:dyDescent="0.3">
      <c r="A122" s="95"/>
      <c r="B122" s="15" t="s">
        <v>17</v>
      </c>
      <c r="C122" s="15">
        <v>4</v>
      </c>
      <c r="D122" s="10" t="s">
        <v>524</v>
      </c>
      <c r="E122" s="13">
        <v>8.6</v>
      </c>
      <c r="F122" s="12" t="s">
        <v>432</v>
      </c>
      <c r="G122" s="12" t="s">
        <v>523</v>
      </c>
      <c r="H122" s="12" t="s">
        <v>522</v>
      </c>
      <c r="I122" s="12" t="s">
        <v>51</v>
      </c>
      <c r="J122" s="12" t="s">
        <v>521</v>
      </c>
      <c r="K122" s="12" t="s">
        <v>51</v>
      </c>
      <c r="L122" s="12" t="s">
        <v>520</v>
      </c>
      <c r="M122" s="5" t="s">
        <v>519</v>
      </c>
      <c r="N122" s="12" t="s">
        <v>51</v>
      </c>
      <c r="O122" s="12"/>
      <c r="P122" s="12"/>
      <c r="Q122" s="12" t="s">
        <v>70</v>
      </c>
      <c r="R122" s="12" t="s">
        <v>429</v>
      </c>
      <c r="S122" s="12"/>
      <c r="T122" s="11" t="s">
        <v>68</v>
      </c>
      <c r="U122" s="11" t="s">
        <v>68</v>
      </c>
      <c r="V122" s="10">
        <f t="shared" si="13"/>
        <v>1569</v>
      </c>
      <c r="W122" s="10"/>
      <c r="X122" s="10">
        <f>237+243</f>
        <v>480</v>
      </c>
      <c r="Y122" s="10">
        <f>210+215+32-10</f>
        <v>447</v>
      </c>
      <c r="Z122" s="10"/>
      <c r="AA122" s="10">
        <v>13</v>
      </c>
      <c r="AB122" s="10"/>
      <c r="AC122" s="10">
        <v>18</v>
      </c>
      <c r="AD122" s="10"/>
      <c r="AE122" s="10"/>
      <c r="AF122" s="10"/>
      <c r="AG122" s="10">
        <f>57+259+56+239</f>
        <v>611</v>
      </c>
      <c r="AH122" s="10"/>
      <c r="AI122" s="10"/>
      <c r="AJ122" s="10"/>
      <c r="AK122" s="10"/>
      <c r="AL122" s="10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</row>
    <row r="123" spans="1:54" s="1" customFormat="1" ht="16.5" customHeight="1" x14ac:dyDescent="0.3">
      <c r="A123" s="95"/>
      <c r="B123" s="15" t="s">
        <v>17</v>
      </c>
      <c r="C123" s="15">
        <v>5</v>
      </c>
      <c r="D123" s="10" t="s">
        <v>518</v>
      </c>
      <c r="E123" s="13">
        <v>2.5</v>
      </c>
      <c r="F123" s="12"/>
      <c r="G123" s="12" t="s">
        <v>517</v>
      </c>
      <c r="H123" s="12" t="s">
        <v>516</v>
      </c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1" t="s">
        <v>50</v>
      </c>
      <c r="U123" s="11" t="s">
        <v>50</v>
      </c>
      <c r="V123" s="10">
        <f t="shared" si="13"/>
        <v>399</v>
      </c>
      <c r="W123" s="10"/>
      <c r="X123" s="10"/>
      <c r="Y123" s="10"/>
      <c r="Z123" s="10">
        <v>226</v>
      </c>
      <c r="AA123" s="10">
        <v>10</v>
      </c>
      <c r="AB123" s="10"/>
      <c r="AC123" s="10">
        <f>82+85-4</f>
        <v>163</v>
      </c>
      <c r="AD123" s="10"/>
      <c r="AE123" s="10"/>
      <c r="AF123" s="10"/>
      <c r="AG123" s="10"/>
      <c r="AH123" s="10"/>
      <c r="AI123" s="10"/>
      <c r="AJ123" s="10"/>
      <c r="AK123" s="10"/>
      <c r="AL123" s="10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</row>
    <row r="124" spans="1:54" s="1" customFormat="1" ht="16.5" customHeight="1" x14ac:dyDescent="0.3">
      <c r="A124" s="95"/>
      <c r="B124" s="15" t="s">
        <v>17</v>
      </c>
      <c r="C124" s="15">
        <v>6</v>
      </c>
      <c r="D124" s="10" t="s">
        <v>515</v>
      </c>
      <c r="E124" s="13">
        <v>2.4</v>
      </c>
      <c r="F124" s="12" t="s">
        <v>224</v>
      </c>
      <c r="G124" s="12" t="s">
        <v>514</v>
      </c>
      <c r="H124" s="12" t="s">
        <v>513</v>
      </c>
      <c r="I124" s="12"/>
      <c r="J124" s="12"/>
      <c r="K124" s="12"/>
      <c r="L124" s="12"/>
      <c r="M124" s="12"/>
      <c r="N124" s="12"/>
      <c r="O124" s="12"/>
      <c r="P124" s="12"/>
      <c r="Q124" s="12" t="s">
        <v>70</v>
      </c>
      <c r="R124" s="11" t="s">
        <v>221</v>
      </c>
      <c r="S124" s="12"/>
      <c r="T124" s="11">
        <v>6</v>
      </c>
      <c r="U124" s="11">
        <v>6</v>
      </c>
      <c r="V124" s="10">
        <f t="shared" si="13"/>
        <v>491</v>
      </c>
      <c r="W124" s="10">
        <f>[1]은행나무!G39</f>
        <v>491</v>
      </c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</row>
    <row r="125" spans="1:54" s="1" customFormat="1" ht="16.5" customHeight="1" x14ac:dyDescent="0.3">
      <c r="A125" s="95"/>
      <c r="B125" s="15" t="s">
        <v>17</v>
      </c>
      <c r="C125" s="15">
        <v>7</v>
      </c>
      <c r="D125" s="10" t="s">
        <v>512</v>
      </c>
      <c r="E125" s="13">
        <v>2.1</v>
      </c>
      <c r="F125" s="12"/>
      <c r="G125" s="12" t="s">
        <v>511</v>
      </c>
      <c r="H125" s="12" t="s">
        <v>510</v>
      </c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1">
        <v>4</v>
      </c>
      <c r="U125" s="11" t="s">
        <v>509</v>
      </c>
      <c r="V125" s="10">
        <f t="shared" si="13"/>
        <v>325</v>
      </c>
      <c r="W125" s="10"/>
      <c r="X125" s="10"/>
      <c r="Y125" s="10"/>
      <c r="Z125" s="10"/>
      <c r="AA125" s="10"/>
      <c r="AB125" s="10"/>
      <c r="AC125" s="10">
        <v>325</v>
      </c>
      <c r="AD125" s="10"/>
      <c r="AE125" s="10"/>
      <c r="AF125" s="10"/>
      <c r="AG125" s="10"/>
      <c r="AH125" s="10"/>
      <c r="AI125" s="10"/>
      <c r="AJ125" s="10"/>
      <c r="AK125" s="10"/>
      <c r="AL125" s="10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</row>
    <row r="126" spans="1:54" s="1" customFormat="1" ht="16.5" customHeight="1" x14ac:dyDescent="0.3">
      <c r="A126" s="95"/>
      <c r="B126" s="15" t="s">
        <v>17</v>
      </c>
      <c r="C126" s="15">
        <v>8</v>
      </c>
      <c r="D126" s="10" t="s">
        <v>508</v>
      </c>
      <c r="E126" s="13">
        <v>0.4</v>
      </c>
      <c r="F126" s="12"/>
      <c r="G126" s="12" t="s">
        <v>507</v>
      </c>
      <c r="H126" s="12" t="s">
        <v>506</v>
      </c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1">
        <v>3</v>
      </c>
      <c r="U126" s="11">
        <v>3</v>
      </c>
      <c r="V126" s="10">
        <f t="shared" si="13"/>
        <v>69</v>
      </c>
      <c r="W126" s="10"/>
      <c r="X126" s="10"/>
      <c r="Y126" s="10"/>
      <c r="Z126" s="10"/>
      <c r="AA126" s="10"/>
      <c r="AB126" s="10">
        <f>36+33</f>
        <v>69</v>
      </c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</row>
    <row r="127" spans="1:54" s="1" customFormat="1" ht="16.5" customHeight="1" x14ac:dyDescent="0.3">
      <c r="A127" s="95"/>
      <c r="B127" s="15" t="s">
        <v>17</v>
      </c>
      <c r="C127" s="15">
        <v>9</v>
      </c>
      <c r="D127" s="10" t="s">
        <v>505</v>
      </c>
      <c r="E127" s="13">
        <v>0.3</v>
      </c>
      <c r="F127" s="12"/>
      <c r="G127" s="12" t="s">
        <v>504</v>
      </c>
      <c r="H127" s="12" t="s">
        <v>503</v>
      </c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1">
        <v>3</v>
      </c>
      <c r="U127" s="11">
        <v>3</v>
      </c>
      <c r="V127" s="10">
        <f t="shared" si="13"/>
        <v>61</v>
      </c>
      <c r="W127" s="10">
        <f>[1]은행나무!G40</f>
        <v>11</v>
      </c>
      <c r="X127" s="10"/>
      <c r="Y127" s="10"/>
      <c r="Z127" s="10"/>
      <c r="AA127" s="10"/>
      <c r="AB127" s="10">
        <f>24+26</f>
        <v>50</v>
      </c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</row>
    <row r="128" spans="1:54" s="1" customFormat="1" ht="16.5" customHeight="1" x14ac:dyDescent="0.3">
      <c r="A128" s="95"/>
      <c r="B128" s="15" t="s">
        <v>17</v>
      </c>
      <c r="C128" s="15">
        <v>10</v>
      </c>
      <c r="D128" s="10" t="s">
        <v>502</v>
      </c>
      <c r="E128" s="13">
        <v>1</v>
      </c>
      <c r="F128" s="12"/>
      <c r="G128" s="12" t="s">
        <v>501</v>
      </c>
      <c r="H128" s="12" t="s">
        <v>500</v>
      </c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1" t="s">
        <v>55</v>
      </c>
      <c r="U128" s="11" t="s">
        <v>499</v>
      </c>
      <c r="V128" s="10">
        <f t="shared" si="13"/>
        <v>204</v>
      </c>
      <c r="W128" s="10">
        <f>[1]은행나무!G41</f>
        <v>58</v>
      </c>
      <c r="X128" s="10"/>
      <c r="Y128" s="10"/>
      <c r="Z128" s="10"/>
      <c r="AA128" s="10"/>
      <c r="AB128" s="10">
        <f>72+74</f>
        <v>146</v>
      </c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</row>
    <row r="129" spans="1:54" s="1" customFormat="1" ht="16.5" customHeight="1" x14ac:dyDescent="0.3">
      <c r="A129" s="95"/>
      <c r="B129" s="15" t="s">
        <v>17</v>
      </c>
      <c r="C129" s="15">
        <v>11</v>
      </c>
      <c r="D129" s="10" t="s">
        <v>498</v>
      </c>
      <c r="E129" s="13">
        <v>0.3</v>
      </c>
      <c r="F129" s="12"/>
      <c r="G129" s="12" t="s">
        <v>497</v>
      </c>
      <c r="H129" s="12" t="s">
        <v>496</v>
      </c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1">
        <v>3.5</v>
      </c>
      <c r="U129" s="11">
        <v>3.5</v>
      </c>
      <c r="V129" s="10">
        <f t="shared" si="13"/>
        <v>69</v>
      </c>
      <c r="W129" s="10">
        <f>[1]은행나무!G42</f>
        <v>69</v>
      </c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</row>
    <row r="130" spans="1:54" s="1" customFormat="1" ht="16.5" customHeight="1" x14ac:dyDescent="0.3">
      <c r="A130" s="95"/>
      <c r="B130" s="15" t="s">
        <v>17</v>
      </c>
      <c r="C130" s="15">
        <v>12</v>
      </c>
      <c r="D130" s="10" t="s">
        <v>495</v>
      </c>
      <c r="E130" s="13">
        <v>0.6</v>
      </c>
      <c r="F130" s="12"/>
      <c r="G130" s="12" t="s">
        <v>494</v>
      </c>
      <c r="H130" s="12" t="s">
        <v>493</v>
      </c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1" t="s">
        <v>492</v>
      </c>
      <c r="U130" s="11" t="s">
        <v>492</v>
      </c>
      <c r="V130" s="10">
        <f t="shared" si="13"/>
        <v>121</v>
      </c>
      <c r="W130" s="10">
        <f>[1]은행나무!G43</f>
        <v>121</v>
      </c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</row>
    <row r="131" spans="1:54" s="1" customFormat="1" ht="16.5" customHeight="1" x14ac:dyDescent="0.3">
      <c r="A131" s="95"/>
      <c r="B131" s="15" t="s">
        <v>17</v>
      </c>
      <c r="C131" s="15">
        <v>13</v>
      </c>
      <c r="D131" s="10" t="s">
        <v>491</v>
      </c>
      <c r="E131" s="13">
        <v>0.3</v>
      </c>
      <c r="F131" s="12" t="s">
        <v>73</v>
      </c>
      <c r="G131" s="12" t="s">
        <v>490</v>
      </c>
      <c r="H131" s="12" t="s">
        <v>489</v>
      </c>
      <c r="I131" s="12"/>
      <c r="J131" s="12"/>
      <c r="K131" s="12"/>
      <c r="L131" s="12"/>
      <c r="M131" s="12"/>
      <c r="N131" s="12"/>
      <c r="O131" s="12"/>
      <c r="P131" s="12"/>
      <c r="Q131" s="12" t="s">
        <v>70</v>
      </c>
      <c r="R131" s="12" t="s">
        <v>69</v>
      </c>
      <c r="S131" s="12"/>
      <c r="T131" s="11">
        <v>4</v>
      </c>
      <c r="U131" s="11">
        <v>4</v>
      </c>
      <c r="V131" s="10">
        <f t="shared" si="13"/>
        <v>69</v>
      </c>
      <c r="W131" s="10">
        <f>[1]은행나무!G44</f>
        <v>69</v>
      </c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</row>
    <row r="132" spans="1:54" s="1" customFormat="1" ht="16.5" customHeight="1" x14ac:dyDescent="0.3">
      <c r="A132" s="95"/>
      <c r="B132" s="15" t="s">
        <v>17</v>
      </c>
      <c r="C132" s="15">
        <v>14</v>
      </c>
      <c r="D132" s="10" t="s">
        <v>488</v>
      </c>
      <c r="E132" s="13">
        <v>0.3</v>
      </c>
      <c r="F132" s="12"/>
      <c r="G132" s="12" t="s">
        <v>487</v>
      </c>
      <c r="H132" s="12" t="s">
        <v>486</v>
      </c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1">
        <v>3</v>
      </c>
      <c r="U132" s="11">
        <v>3</v>
      </c>
      <c r="V132" s="10">
        <f t="shared" si="13"/>
        <v>33</v>
      </c>
      <c r="W132" s="10">
        <f>[1]은행나무!G45</f>
        <v>33</v>
      </c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</row>
    <row r="133" spans="1:54" s="1" customFormat="1" ht="16.5" customHeight="1" x14ac:dyDescent="0.3">
      <c r="A133" s="95"/>
      <c r="B133" s="15" t="s">
        <v>17</v>
      </c>
      <c r="C133" s="15">
        <v>15</v>
      </c>
      <c r="D133" s="10" t="s">
        <v>485</v>
      </c>
      <c r="E133" s="13">
        <v>0.6</v>
      </c>
      <c r="F133" s="12"/>
      <c r="G133" s="12" t="s">
        <v>484</v>
      </c>
      <c r="H133" s="12" t="s">
        <v>483</v>
      </c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1">
        <v>3</v>
      </c>
      <c r="U133" s="11">
        <v>3</v>
      </c>
      <c r="V133" s="10">
        <f t="shared" si="13"/>
        <v>124</v>
      </c>
      <c r="W133" s="10">
        <f>[1]은행나무!G46</f>
        <v>124</v>
      </c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</row>
    <row r="134" spans="1:54" s="1" customFormat="1" ht="16.5" customHeight="1" x14ac:dyDescent="0.3">
      <c r="A134" s="95"/>
      <c r="B134" s="15" t="s">
        <v>17</v>
      </c>
      <c r="C134" s="15">
        <v>16</v>
      </c>
      <c r="D134" s="10" t="s">
        <v>482</v>
      </c>
      <c r="E134" s="13">
        <v>0.7</v>
      </c>
      <c r="F134" s="12"/>
      <c r="G134" s="12" t="s">
        <v>481</v>
      </c>
      <c r="H134" s="12" t="s">
        <v>480</v>
      </c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1" t="s">
        <v>479</v>
      </c>
      <c r="U134" s="11" t="s">
        <v>479</v>
      </c>
      <c r="V134" s="10">
        <f t="shared" si="13"/>
        <v>14</v>
      </c>
      <c r="W134" s="10">
        <f>[1]은행나무!G47</f>
        <v>14</v>
      </c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</row>
    <row r="135" spans="1:54" s="1" customFormat="1" ht="16.5" customHeight="1" x14ac:dyDescent="0.3">
      <c r="A135" s="95"/>
      <c r="B135" s="15" t="s">
        <v>17</v>
      </c>
      <c r="C135" s="15">
        <v>17</v>
      </c>
      <c r="D135" s="10" t="s">
        <v>478</v>
      </c>
      <c r="E135" s="13">
        <v>0.2</v>
      </c>
      <c r="F135" s="12" t="s">
        <v>424</v>
      </c>
      <c r="G135" s="12" t="s">
        <v>477</v>
      </c>
      <c r="H135" s="12" t="s">
        <v>476</v>
      </c>
      <c r="I135" s="12"/>
      <c r="J135" s="12"/>
      <c r="K135" s="12"/>
      <c r="L135" s="12"/>
      <c r="M135" s="12"/>
      <c r="N135" s="12"/>
      <c r="O135" s="12"/>
      <c r="P135" s="12"/>
      <c r="Q135" s="12" t="s">
        <v>70</v>
      </c>
      <c r="R135" s="12" t="s">
        <v>407</v>
      </c>
      <c r="S135" s="12"/>
      <c r="T135" s="11">
        <v>3</v>
      </c>
      <c r="U135" s="11">
        <v>5</v>
      </c>
      <c r="V135" s="10">
        <f t="shared" si="13"/>
        <v>28</v>
      </c>
      <c r="W135" s="10">
        <f>[1]은행나무!G48</f>
        <v>28</v>
      </c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</row>
    <row r="136" spans="1:54" s="1" customFormat="1" ht="16.5" customHeight="1" x14ac:dyDescent="0.3">
      <c r="A136" s="95"/>
      <c r="B136" s="15" t="s">
        <v>17</v>
      </c>
      <c r="C136" s="15">
        <v>18</v>
      </c>
      <c r="D136" s="10" t="s">
        <v>475</v>
      </c>
      <c r="E136" s="13">
        <v>0.2</v>
      </c>
      <c r="F136" s="12" t="s">
        <v>424</v>
      </c>
      <c r="G136" s="12" t="s">
        <v>474</v>
      </c>
      <c r="H136" s="12" t="s">
        <v>473</v>
      </c>
      <c r="I136" s="12"/>
      <c r="J136" s="12"/>
      <c r="K136" s="12"/>
      <c r="L136" s="12"/>
      <c r="M136" s="12"/>
      <c r="N136" s="12"/>
      <c r="O136" s="12"/>
      <c r="P136" s="12"/>
      <c r="Q136" s="12" t="s">
        <v>70</v>
      </c>
      <c r="R136" s="12" t="s">
        <v>407</v>
      </c>
      <c r="S136" s="12"/>
      <c r="T136" s="11">
        <v>3</v>
      </c>
      <c r="U136" s="11">
        <v>5</v>
      </c>
      <c r="V136" s="10">
        <f t="shared" si="13"/>
        <v>34</v>
      </c>
      <c r="W136" s="10">
        <f>[1]은행나무!G49</f>
        <v>34</v>
      </c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</row>
    <row r="137" spans="1:54" s="1" customFormat="1" ht="16.5" customHeight="1" x14ac:dyDescent="0.3">
      <c r="A137" s="95"/>
      <c r="B137" s="15" t="s">
        <v>17</v>
      </c>
      <c r="C137" s="15">
        <v>19</v>
      </c>
      <c r="D137" s="10" t="s">
        <v>472</v>
      </c>
      <c r="E137" s="13">
        <v>0.1</v>
      </c>
      <c r="F137" s="12" t="s">
        <v>424</v>
      </c>
      <c r="G137" s="12" t="s">
        <v>471</v>
      </c>
      <c r="H137" s="12" t="s">
        <v>62</v>
      </c>
      <c r="I137" s="12"/>
      <c r="J137" s="12"/>
      <c r="K137" s="12"/>
      <c r="L137" s="12"/>
      <c r="M137" s="12"/>
      <c r="N137" s="12"/>
      <c r="O137" s="12"/>
      <c r="P137" s="12"/>
      <c r="Q137" s="12" t="s">
        <v>70</v>
      </c>
      <c r="R137" s="12" t="s">
        <v>407</v>
      </c>
      <c r="S137" s="12"/>
      <c r="T137" s="11">
        <v>3</v>
      </c>
      <c r="U137" s="11">
        <v>5</v>
      </c>
      <c r="V137" s="10">
        <f t="shared" si="13"/>
        <v>21</v>
      </c>
      <c r="W137" s="10">
        <f>[1]은행나무!G50</f>
        <v>21</v>
      </c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</row>
    <row r="138" spans="1:54" s="1" customFormat="1" ht="16.5" customHeight="1" x14ac:dyDescent="0.3">
      <c r="A138" s="95"/>
      <c r="B138" s="15" t="s">
        <v>17</v>
      </c>
      <c r="C138" s="15">
        <v>20</v>
      </c>
      <c r="D138" s="10" t="s">
        <v>470</v>
      </c>
      <c r="E138" s="13">
        <v>0.2</v>
      </c>
      <c r="F138" s="12" t="s">
        <v>424</v>
      </c>
      <c r="G138" s="12" t="s">
        <v>427</v>
      </c>
      <c r="H138" s="12" t="s">
        <v>469</v>
      </c>
      <c r="I138" s="12"/>
      <c r="J138" s="12"/>
      <c r="K138" s="12"/>
      <c r="L138" s="12"/>
      <c r="M138" s="12"/>
      <c r="N138" s="12"/>
      <c r="O138" s="12"/>
      <c r="P138" s="12"/>
      <c r="Q138" s="12" t="s">
        <v>70</v>
      </c>
      <c r="R138" s="12" t="s">
        <v>407</v>
      </c>
      <c r="S138" s="12"/>
      <c r="T138" s="11">
        <v>3</v>
      </c>
      <c r="U138" s="11">
        <v>5</v>
      </c>
      <c r="V138" s="10">
        <f t="shared" si="13"/>
        <v>13</v>
      </c>
      <c r="W138" s="10">
        <f>[1]은행나무!G51</f>
        <v>13</v>
      </c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</row>
    <row r="139" spans="1:54" s="1" customFormat="1" ht="16.5" customHeight="1" x14ac:dyDescent="0.3">
      <c r="A139" s="95"/>
      <c r="B139" s="15" t="s">
        <v>17</v>
      </c>
      <c r="C139" s="15">
        <v>21</v>
      </c>
      <c r="D139" s="10" t="s">
        <v>468</v>
      </c>
      <c r="E139" s="13">
        <v>0.4</v>
      </c>
      <c r="F139" s="12"/>
      <c r="G139" s="12" t="s">
        <v>467</v>
      </c>
      <c r="H139" s="12" t="s">
        <v>466</v>
      </c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1">
        <v>2.5</v>
      </c>
      <c r="U139" s="11">
        <v>2.5</v>
      </c>
      <c r="V139" s="10">
        <f t="shared" si="13"/>
        <v>35</v>
      </c>
      <c r="W139" s="10"/>
      <c r="X139" s="10"/>
      <c r="Y139" s="10"/>
      <c r="Z139" s="10"/>
      <c r="AA139" s="10"/>
      <c r="AB139" s="10">
        <f>19+16</f>
        <v>35</v>
      </c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</row>
    <row r="140" spans="1:54" s="1" customFormat="1" ht="16.5" customHeight="1" x14ac:dyDescent="0.3">
      <c r="A140" s="95"/>
      <c r="B140" s="15" t="s">
        <v>17</v>
      </c>
      <c r="C140" s="15">
        <v>22</v>
      </c>
      <c r="D140" s="10" t="s">
        <v>465</v>
      </c>
      <c r="E140" s="13">
        <v>0.2</v>
      </c>
      <c r="F140" s="12"/>
      <c r="G140" s="12" t="s">
        <v>464</v>
      </c>
      <c r="H140" s="12" t="s">
        <v>463</v>
      </c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1" t="s">
        <v>55</v>
      </c>
      <c r="U140" s="11" t="s">
        <v>55</v>
      </c>
      <c r="V140" s="10">
        <f t="shared" si="13"/>
        <v>41</v>
      </c>
      <c r="W140" s="10"/>
      <c r="X140" s="10"/>
      <c r="Y140" s="10"/>
      <c r="Z140" s="10"/>
      <c r="AA140" s="10"/>
      <c r="AB140" s="10">
        <f>16+25</f>
        <v>41</v>
      </c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</row>
    <row r="141" spans="1:54" s="1" customFormat="1" ht="16.5" customHeight="1" x14ac:dyDescent="0.3">
      <c r="A141" s="95"/>
      <c r="B141" s="15" t="s">
        <v>17</v>
      </c>
      <c r="C141" s="15">
        <v>23</v>
      </c>
      <c r="D141" s="10" t="s">
        <v>462</v>
      </c>
      <c r="E141" s="13">
        <v>0.3</v>
      </c>
      <c r="F141" s="12"/>
      <c r="G141" s="12" t="s">
        <v>461</v>
      </c>
      <c r="H141" s="12" t="s">
        <v>460</v>
      </c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1" t="s">
        <v>55</v>
      </c>
      <c r="U141" s="11" t="s">
        <v>55</v>
      </c>
      <c r="V141" s="10">
        <f t="shared" si="13"/>
        <v>62</v>
      </c>
      <c r="W141" s="10"/>
      <c r="X141" s="10"/>
      <c r="Y141" s="10"/>
      <c r="Z141" s="10"/>
      <c r="AA141" s="10"/>
      <c r="AB141" s="10">
        <f>29+33</f>
        <v>62</v>
      </c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</row>
    <row r="142" spans="1:54" s="1" customFormat="1" ht="16.5" customHeight="1" x14ac:dyDescent="0.3">
      <c r="A142" s="95"/>
      <c r="B142" s="15" t="s">
        <v>17</v>
      </c>
      <c r="C142" s="15">
        <v>24</v>
      </c>
      <c r="D142" s="10" t="s">
        <v>459</v>
      </c>
      <c r="E142" s="13">
        <v>0.4</v>
      </c>
      <c r="F142" s="12"/>
      <c r="G142" s="12" t="s">
        <v>458</v>
      </c>
      <c r="H142" s="12" t="s">
        <v>457</v>
      </c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1">
        <v>2.5</v>
      </c>
      <c r="U142" s="11">
        <v>2.5</v>
      </c>
      <c r="V142" s="10">
        <f t="shared" si="13"/>
        <v>67</v>
      </c>
      <c r="W142" s="10"/>
      <c r="X142" s="10"/>
      <c r="Y142" s="10"/>
      <c r="Z142" s="10"/>
      <c r="AA142" s="10"/>
      <c r="AB142" s="10"/>
      <c r="AC142" s="10">
        <v>67</v>
      </c>
      <c r="AD142" s="10"/>
      <c r="AE142" s="10"/>
      <c r="AF142" s="10"/>
      <c r="AG142" s="10"/>
      <c r="AH142" s="10"/>
      <c r="AI142" s="10"/>
      <c r="AJ142" s="10"/>
      <c r="AK142" s="10"/>
      <c r="AL142" s="10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</row>
    <row r="143" spans="1:54" s="1" customFormat="1" ht="16.5" customHeight="1" x14ac:dyDescent="0.3">
      <c r="A143" s="95"/>
      <c r="B143" s="15" t="s">
        <v>17</v>
      </c>
      <c r="C143" s="15">
        <v>25</v>
      </c>
      <c r="D143" s="10" t="s">
        <v>456</v>
      </c>
      <c r="E143" s="13">
        <v>0.1</v>
      </c>
      <c r="F143" s="12" t="s">
        <v>424</v>
      </c>
      <c r="G143" s="12" t="s">
        <v>455</v>
      </c>
      <c r="H143" s="12" t="s">
        <v>379</v>
      </c>
      <c r="I143" s="12"/>
      <c r="J143" s="12"/>
      <c r="K143" s="12"/>
      <c r="L143" s="12"/>
      <c r="M143" s="12"/>
      <c r="N143" s="12"/>
      <c r="O143" s="12"/>
      <c r="P143" s="12"/>
      <c r="Q143" s="12" t="s">
        <v>70</v>
      </c>
      <c r="R143" s="12" t="s">
        <v>407</v>
      </c>
      <c r="S143" s="12"/>
      <c r="T143" s="11">
        <v>6</v>
      </c>
      <c r="U143" s="11">
        <v>6</v>
      </c>
      <c r="V143" s="10">
        <f t="shared" si="13"/>
        <v>24</v>
      </c>
      <c r="W143" s="10"/>
      <c r="X143" s="10"/>
      <c r="Y143" s="10"/>
      <c r="Z143" s="10"/>
      <c r="AA143" s="10">
        <f>14+10</f>
        <v>24</v>
      </c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</row>
    <row r="144" spans="1:54" s="1" customFormat="1" ht="16.5" customHeight="1" x14ac:dyDescent="0.3">
      <c r="A144" s="95"/>
      <c r="B144" s="15" t="s">
        <v>17</v>
      </c>
      <c r="C144" s="15">
        <v>26</v>
      </c>
      <c r="D144" s="10" t="s">
        <v>454</v>
      </c>
      <c r="E144" s="13">
        <v>0.3</v>
      </c>
      <c r="F144" s="12"/>
      <c r="G144" s="12" t="s">
        <v>453</v>
      </c>
      <c r="H144" s="12" t="s">
        <v>452</v>
      </c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1">
        <v>2.5</v>
      </c>
      <c r="U144" s="11">
        <v>2.5</v>
      </c>
      <c r="V144" s="10">
        <f t="shared" si="13"/>
        <v>47</v>
      </c>
      <c r="W144" s="10"/>
      <c r="X144" s="10"/>
      <c r="Y144" s="10"/>
      <c r="Z144" s="10">
        <f>27+20</f>
        <v>47</v>
      </c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</row>
    <row r="145" spans="1:54" s="1" customFormat="1" ht="16.5" customHeight="1" x14ac:dyDescent="0.3">
      <c r="A145" s="95"/>
      <c r="B145" s="15" t="s">
        <v>17</v>
      </c>
      <c r="C145" s="15">
        <v>27</v>
      </c>
      <c r="D145" s="10" t="s">
        <v>451</v>
      </c>
      <c r="E145" s="13">
        <v>0.8</v>
      </c>
      <c r="F145" s="12"/>
      <c r="G145" s="12" t="s">
        <v>450</v>
      </c>
      <c r="H145" s="12" t="s">
        <v>449</v>
      </c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1" t="s">
        <v>50</v>
      </c>
      <c r="U145" s="11" t="s">
        <v>68</v>
      </c>
      <c r="V145" s="10">
        <f t="shared" si="13"/>
        <v>277</v>
      </c>
      <c r="W145" s="10"/>
      <c r="X145" s="10"/>
      <c r="Y145" s="10"/>
      <c r="Z145" s="10">
        <v>98</v>
      </c>
      <c r="AA145" s="10">
        <v>6</v>
      </c>
      <c r="AB145" s="10"/>
      <c r="AC145" s="10">
        <f>51+65</f>
        <v>116</v>
      </c>
      <c r="AD145" s="10"/>
      <c r="AE145" s="10"/>
      <c r="AF145" s="10"/>
      <c r="AG145" s="10"/>
      <c r="AH145" s="10"/>
      <c r="AI145" s="10"/>
      <c r="AJ145" s="10">
        <v>57</v>
      </c>
      <c r="AK145" s="10"/>
      <c r="AL145" s="10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</row>
    <row r="146" spans="1:54" s="1" customFormat="1" ht="16.5" customHeight="1" x14ac:dyDescent="0.3">
      <c r="A146" s="95"/>
      <c r="B146" s="15" t="s">
        <v>17</v>
      </c>
      <c r="C146" s="15">
        <v>28</v>
      </c>
      <c r="D146" s="10" t="s">
        <v>448</v>
      </c>
      <c r="E146" s="13">
        <v>0.3</v>
      </c>
      <c r="F146" s="12"/>
      <c r="G146" s="12" t="s">
        <v>447</v>
      </c>
      <c r="H146" s="12" t="s">
        <v>161</v>
      </c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1">
        <v>3</v>
      </c>
      <c r="U146" s="11">
        <v>3</v>
      </c>
      <c r="V146" s="10">
        <f t="shared" si="13"/>
        <v>140</v>
      </c>
      <c r="W146" s="10">
        <f>43+41</f>
        <v>84</v>
      </c>
      <c r="X146" s="10"/>
      <c r="Y146" s="10"/>
      <c r="Z146" s="10">
        <f>27+29</f>
        <v>56</v>
      </c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</row>
    <row r="147" spans="1:54" s="1" customFormat="1" ht="16.5" customHeight="1" x14ac:dyDescent="0.3">
      <c r="A147" s="95"/>
      <c r="B147" s="15" t="s">
        <v>17</v>
      </c>
      <c r="C147" s="15">
        <v>29</v>
      </c>
      <c r="D147" s="10" t="s">
        <v>446</v>
      </c>
      <c r="E147" s="13">
        <v>0.2</v>
      </c>
      <c r="F147" s="12"/>
      <c r="G147" s="12" t="s">
        <v>445</v>
      </c>
      <c r="H147" s="12" t="s">
        <v>444</v>
      </c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1">
        <v>3</v>
      </c>
      <c r="U147" s="11">
        <v>3</v>
      </c>
      <c r="V147" s="10">
        <f t="shared" si="13"/>
        <v>45</v>
      </c>
      <c r="W147" s="10"/>
      <c r="X147" s="10"/>
      <c r="Y147" s="10"/>
      <c r="Z147" s="10"/>
      <c r="AA147" s="10"/>
      <c r="AB147" s="10">
        <v>45</v>
      </c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</row>
    <row r="148" spans="1:54" s="1" customFormat="1" ht="16.5" customHeight="1" x14ac:dyDescent="0.3">
      <c r="A148" s="95"/>
      <c r="B148" s="15" t="s">
        <v>17</v>
      </c>
      <c r="C148" s="15">
        <v>30</v>
      </c>
      <c r="D148" s="10" t="s">
        <v>443</v>
      </c>
      <c r="E148" s="13">
        <v>0.1</v>
      </c>
      <c r="F148" s="12"/>
      <c r="G148" s="12" t="s">
        <v>442</v>
      </c>
      <c r="H148" s="12" t="s">
        <v>441</v>
      </c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1">
        <v>4</v>
      </c>
      <c r="U148" s="11" t="s">
        <v>18</v>
      </c>
      <c r="V148" s="10">
        <f t="shared" si="13"/>
        <v>14</v>
      </c>
      <c r="W148" s="10"/>
      <c r="X148" s="10"/>
      <c r="Y148" s="10"/>
      <c r="Z148" s="10"/>
      <c r="AA148" s="10"/>
      <c r="AB148" s="10"/>
      <c r="AC148" s="10">
        <f>14</f>
        <v>14</v>
      </c>
      <c r="AD148" s="10"/>
      <c r="AE148" s="10"/>
      <c r="AF148" s="10"/>
      <c r="AG148" s="10"/>
      <c r="AH148" s="10"/>
      <c r="AI148" s="10"/>
      <c r="AJ148" s="10"/>
      <c r="AK148" s="10"/>
      <c r="AL148" s="10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</row>
    <row r="149" spans="1:54" s="1" customFormat="1" ht="16.5" customHeight="1" x14ac:dyDescent="0.3">
      <c r="A149" s="95"/>
      <c r="B149" s="15" t="s">
        <v>17</v>
      </c>
      <c r="C149" s="15">
        <v>31</v>
      </c>
      <c r="D149" s="10" t="s">
        <v>440</v>
      </c>
      <c r="E149" s="13">
        <v>0.1</v>
      </c>
      <c r="F149" s="12" t="s">
        <v>424</v>
      </c>
      <c r="G149" s="12" t="s">
        <v>439</v>
      </c>
      <c r="H149" s="12"/>
      <c r="I149" s="12"/>
      <c r="J149" s="12"/>
      <c r="K149" s="12"/>
      <c r="L149" s="12"/>
      <c r="M149" s="12"/>
      <c r="N149" s="12"/>
      <c r="O149" s="12"/>
      <c r="P149" s="12"/>
      <c r="Q149" s="12" t="s">
        <v>70</v>
      </c>
      <c r="R149" s="12" t="s">
        <v>407</v>
      </c>
      <c r="S149" s="12"/>
      <c r="T149" s="11" t="s">
        <v>50</v>
      </c>
      <c r="U149" s="11" t="s">
        <v>438</v>
      </c>
      <c r="V149" s="10">
        <f t="shared" si="13"/>
        <v>31</v>
      </c>
      <c r="W149" s="10"/>
      <c r="X149" s="10"/>
      <c r="Y149" s="10"/>
      <c r="Z149" s="10"/>
      <c r="AA149" s="10"/>
      <c r="AB149" s="10"/>
      <c r="AC149" s="10">
        <f>15+16</f>
        <v>31</v>
      </c>
      <c r="AD149" s="10"/>
      <c r="AE149" s="10"/>
      <c r="AF149" s="10"/>
      <c r="AG149" s="10"/>
      <c r="AH149" s="10"/>
      <c r="AI149" s="10"/>
      <c r="AJ149" s="10"/>
      <c r="AK149" s="10"/>
      <c r="AL149" s="10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</row>
    <row r="150" spans="1:54" s="1" customFormat="1" ht="16.5" customHeight="1" x14ac:dyDescent="0.3">
      <c r="A150" s="95"/>
      <c r="B150" s="15" t="s">
        <v>17</v>
      </c>
      <c r="C150" s="15">
        <v>32</v>
      </c>
      <c r="D150" s="10" t="s">
        <v>437</v>
      </c>
      <c r="E150" s="13">
        <v>0.2</v>
      </c>
      <c r="F150" s="12"/>
      <c r="G150" s="12" t="s">
        <v>436</v>
      </c>
      <c r="H150" s="12" t="s">
        <v>435</v>
      </c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1" t="s">
        <v>434</v>
      </c>
      <c r="U150" s="11">
        <v>2</v>
      </c>
      <c r="V150" s="10">
        <f t="shared" si="13"/>
        <v>15</v>
      </c>
      <c r="W150" s="10"/>
      <c r="X150" s="10"/>
      <c r="Y150" s="10"/>
      <c r="Z150" s="10"/>
      <c r="AA150" s="10"/>
      <c r="AB150" s="10"/>
      <c r="AC150" s="10">
        <f>15</f>
        <v>15</v>
      </c>
      <c r="AD150" s="10"/>
      <c r="AE150" s="10"/>
      <c r="AF150" s="10"/>
      <c r="AG150" s="10"/>
      <c r="AH150" s="10"/>
      <c r="AI150" s="10"/>
      <c r="AJ150" s="10"/>
      <c r="AK150" s="10"/>
      <c r="AL150" s="10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</row>
    <row r="151" spans="1:54" s="1" customFormat="1" ht="16.5" customHeight="1" x14ac:dyDescent="0.3">
      <c r="A151" s="95"/>
      <c r="B151" s="15" t="s">
        <v>17</v>
      </c>
      <c r="C151" s="15">
        <v>33</v>
      </c>
      <c r="D151" s="10" t="s">
        <v>433</v>
      </c>
      <c r="E151" s="13">
        <v>0.6</v>
      </c>
      <c r="F151" s="12" t="s">
        <v>432</v>
      </c>
      <c r="G151" s="12" t="s">
        <v>431</v>
      </c>
      <c r="H151" s="12" t="s">
        <v>430</v>
      </c>
      <c r="I151" s="12"/>
      <c r="J151" s="12"/>
      <c r="K151" s="12"/>
      <c r="L151" s="12"/>
      <c r="M151" s="12"/>
      <c r="N151" s="12"/>
      <c r="O151" s="12"/>
      <c r="P151" s="12"/>
      <c r="Q151" s="12" t="s">
        <v>70</v>
      </c>
      <c r="R151" s="12" t="s">
        <v>429</v>
      </c>
      <c r="S151" s="12"/>
      <c r="T151" s="11">
        <v>5</v>
      </c>
      <c r="U151" s="11">
        <v>3</v>
      </c>
      <c r="V151" s="10">
        <f t="shared" ref="V151:V182" si="14">SUM(W151:AJ151)</f>
        <v>131</v>
      </c>
      <c r="W151" s="10">
        <f>[1]은행나무!G53</f>
        <v>131</v>
      </c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</row>
    <row r="152" spans="1:54" s="1" customFormat="1" ht="16.5" customHeight="1" x14ac:dyDescent="0.3">
      <c r="A152" s="95"/>
      <c r="B152" s="15" t="s">
        <v>17</v>
      </c>
      <c r="C152" s="15">
        <v>34</v>
      </c>
      <c r="D152" s="10" t="s">
        <v>428</v>
      </c>
      <c r="E152" s="13">
        <v>3.8</v>
      </c>
      <c r="F152" s="12"/>
      <c r="G152" s="12" t="s">
        <v>427</v>
      </c>
      <c r="H152" s="12" t="s">
        <v>426</v>
      </c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1" t="s">
        <v>90</v>
      </c>
      <c r="U152" s="11" t="s">
        <v>213</v>
      </c>
      <c r="V152" s="10">
        <f t="shared" si="14"/>
        <v>105</v>
      </c>
      <c r="W152" s="10">
        <f>[1]은행나무!G54</f>
        <v>105</v>
      </c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</row>
    <row r="153" spans="1:54" s="1" customFormat="1" ht="16.5" customHeight="1" x14ac:dyDescent="0.3">
      <c r="A153" s="95"/>
      <c r="B153" s="15" t="s">
        <v>17</v>
      </c>
      <c r="C153" s="15">
        <v>35</v>
      </c>
      <c r="D153" s="10" t="s">
        <v>425</v>
      </c>
      <c r="E153" s="13">
        <v>2.4</v>
      </c>
      <c r="F153" s="12" t="s">
        <v>424</v>
      </c>
      <c r="G153" s="12" t="s">
        <v>423</v>
      </c>
      <c r="H153" s="12" t="s">
        <v>422</v>
      </c>
      <c r="I153" s="12"/>
      <c r="J153" s="12"/>
      <c r="K153" s="12"/>
      <c r="L153" s="12"/>
      <c r="M153" s="12"/>
      <c r="N153" s="12"/>
      <c r="O153" s="12"/>
      <c r="P153" s="12"/>
      <c r="Q153" s="12" t="s">
        <v>70</v>
      </c>
      <c r="R153" s="12" t="s">
        <v>407</v>
      </c>
      <c r="S153" s="12"/>
      <c r="T153" s="11">
        <v>5</v>
      </c>
      <c r="U153" s="11">
        <v>3</v>
      </c>
      <c r="V153" s="10">
        <f t="shared" si="14"/>
        <v>376</v>
      </c>
      <c r="W153" s="10">
        <f>[1]은행나무!G56</f>
        <v>376</v>
      </c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</row>
    <row r="154" spans="1:54" s="1" customFormat="1" ht="16.5" customHeight="1" x14ac:dyDescent="0.3">
      <c r="A154" s="95"/>
      <c r="B154" s="15" t="s">
        <v>17</v>
      </c>
      <c r="C154" s="15">
        <v>36</v>
      </c>
      <c r="D154" s="10" t="s">
        <v>421</v>
      </c>
      <c r="E154" s="13">
        <v>4.5</v>
      </c>
      <c r="F154" s="12"/>
      <c r="G154" s="12" t="s">
        <v>420</v>
      </c>
      <c r="H154" s="12" t="s">
        <v>419</v>
      </c>
      <c r="I154" s="22"/>
      <c r="J154" s="22"/>
      <c r="K154" s="12"/>
      <c r="L154" s="12"/>
      <c r="M154" s="12"/>
      <c r="N154" s="12" t="s">
        <v>51</v>
      </c>
      <c r="O154" s="12"/>
      <c r="P154" s="12"/>
      <c r="Q154" s="12"/>
      <c r="R154" s="12"/>
      <c r="S154" s="12"/>
      <c r="T154" s="11" t="s">
        <v>90</v>
      </c>
      <c r="U154" s="11" t="s">
        <v>50</v>
      </c>
      <c r="V154" s="10">
        <f t="shared" si="14"/>
        <v>212</v>
      </c>
      <c r="W154" s="10">
        <f>[1]은행나무!G57</f>
        <v>9</v>
      </c>
      <c r="X154" s="10"/>
      <c r="Y154" s="10"/>
      <c r="Z154" s="10"/>
      <c r="AA154" s="10">
        <f>57+28+38+80</f>
        <v>203</v>
      </c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</row>
    <row r="155" spans="1:54" s="1" customFormat="1" ht="16.5" customHeight="1" x14ac:dyDescent="0.3">
      <c r="A155" s="95"/>
      <c r="B155" s="15" t="s">
        <v>17</v>
      </c>
      <c r="C155" s="15">
        <v>37</v>
      </c>
      <c r="D155" s="10" t="s">
        <v>418</v>
      </c>
      <c r="E155" s="13">
        <v>6</v>
      </c>
      <c r="F155" s="12" t="s">
        <v>409</v>
      </c>
      <c r="G155" s="12" t="s">
        <v>417</v>
      </c>
      <c r="H155" s="12" t="s">
        <v>416</v>
      </c>
      <c r="I155" s="12"/>
      <c r="J155" s="12"/>
      <c r="K155" s="12"/>
      <c r="L155" s="12"/>
      <c r="M155" s="12"/>
      <c r="N155" s="12" t="s">
        <v>51</v>
      </c>
      <c r="O155" s="12"/>
      <c r="P155" s="12"/>
      <c r="Q155" s="12" t="s">
        <v>70</v>
      </c>
      <c r="R155" s="12" t="s">
        <v>407</v>
      </c>
      <c r="S155" s="12"/>
      <c r="T155" s="11" t="s">
        <v>68</v>
      </c>
      <c r="U155" s="11" t="s">
        <v>68</v>
      </c>
      <c r="V155" s="10">
        <f t="shared" si="14"/>
        <v>1998</v>
      </c>
      <c r="W155" s="10"/>
      <c r="X155" s="10">
        <f>305+287+59</f>
        <v>651</v>
      </c>
      <c r="Y155" s="10">
        <f>116+328+100+313+71</f>
        <v>928</v>
      </c>
      <c r="Z155" s="10"/>
      <c r="AA155" s="10">
        <v>154</v>
      </c>
      <c r="AB155" s="10"/>
      <c r="AC155" s="10"/>
      <c r="AD155" s="10"/>
      <c r="AE155" s="10">
        <f>126+18+121</f>
        <v>265</v>
      </c>
      <c r="AF155" s="10"/>
      <c r="AG155" s="10"/>
      <c r="AH155" s="10"/>
      <c r="AI155" s="10"/>
      <c r="AJ155" s="10"/>
      <c r="AK155" s="10"/>
      <c r="AL155" s="10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</row>
    <row r="156" spans="1:54" s="1" customFormat="1" ht="27.95" customHeight="1" x14ac:dyDescent="0.3">
      <c r="A156" s="95"/>
      <c r="B156" s="15" t="s">
        <v>17</v>
      </c>
      <c r="C156" s="15">
        <v>38</v>
      </c>
      <c r="D156" s="10" t="s">
        <v>415</v>
      </c>
      <c r="E156" s="13">
        <v>12</v>
      </c>
      <c r="F156" s="12"/>
      <c r="G156" s="12" t="s">
        <v>414</v>
      </c>
      <c r="H156" s="12" t="s">
        <v>413</v>
      </c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1" t="s">
        <v>412</v>
      </c>
      <c r="U156" s="11" t="s">
        <v>411</v>
      </c>
      <c r="V156" s="10">
        <f t="shared" si="14"/>
        <v>793</v>
      </c>
      <c r="W156" s="10">
        <f>[1]은행나무!G58</f>
        <v>721</v>
      </c>
      <c r="X156" s="10"/>
      <c r="Y156" s="10"/>
      <c r="Z156" s="10"/>
      <c r="AA156" s="10">
        <v>72</v>
      </c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</row>
    <row r="157" spans="1:54" s="1" customFormat="1" ht="16.5" customHeight="1" x14ac:dyDescent="0.3">
      <c r="A157" s="95"/>
      <c r="B157" s="15" t="s">
        <v>17</v>
      </c>
      <c r="C157" s="15">
        <v>39</v>
      </c>
      <c r="D157" s="10" t="s">
        <v>410</v>
      </c>
      <c r="E157" s="13">
        <v>6.7</v>
      </c>
      <c r="F157" s="12" t="s">
        <v>409</v>
      </c>
      <c r="G157" s="12" t="s">
        <v>308</v>
      </c>
      <c r="H157" s="12" t="s">
        <v>408</v>
      </c>
      <c r="I157" s="12"/>
      <c r="J157" s="12"/>
      <c r="K157" s="12"/>
      <c r="L157" s="12"/>
      <c r="M157" s="12"/>
      <c r="N157" s="12"/>
      <c r="O157" s="12"/>
      <c r="P157" s="12"/>
      <c r="Q157" s="12" t="s">
        <v>70</v>
      </c>
      <c r="R157" s="12" t="s">
        <v>407</v>
      </c>
      <c r="S157" s="12"/>
      <c r="T157" s="11">
        <v>4.5</v>
      </c>
      <c r="U157" s="11">
        <v>4.5</v>
      </c>
      <c r="V157" s="10">
        <f t="shared" si="14"/>
        <v>1485</v>
      </c>
      <c r="W157" s="10">
        <f>[1]은행나무!G59</f>
        <v>1080</v>
      </c>
      <c r="X157" s="10"/>
      <c r="Y157" s="10"/>
      <c r="Z157" s="10"/>
      <c r="AA157" s="10">
        <f>134+83+91</f>
        <v>308</v>
      </c>
      <c r="AB157" s="10">
        <f>47+50</f>
        <v>97</v>
      </c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</row>
    <row r="158" spans="1:54" s="1" customFormat="1" ht="16.5" customHeight="1" x14ac:dyDescent="0.3">
      <c r="A158" s="95"/>
      <c r="B158" s="15" t="s">
        <v>17</v>
      </c>
      <c r="C158" s="15">
        <v>40</v>
      </c>
      <c r="D158" s="10" t="s">
        <v>406</v>
      </c>
      <c r="E158" s="13">
        <v>9.6999999999999993</v>
      </c>
      <c r="F158" s="12"/>
      <c r="G158" s="12" t="s">
        <v>405</v>
      </c>
      <c r="H158" s="12" t="s">
        <v>184</v>
      </c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1" t="s">
        <v>404</v>
      </c>
      <c r="U158" s="11" t="s">
        <v>404</v>
      </c>
      <c r="V158" s="10">
        <f t="shared" si="14"/>
        <v>1968</v>
      </c>
      <c r="W158" s="10">
        <f>[1]은행나무!G60</f>
        <v>1763</v>
      </c>
      <c r="X158" s="10"/>
      <c r="Y158" s="10"/>
      <c r="Z158" s="10"/>
      <c r="AA158" s="10">
        <v>205</v>
      </c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</row>
    <row r="159" spans="1:54" s="1" customFormat="1" ht="16.5" customHeight="1" x14ac:dyDescent="0.3">
      <c r="A159" s="95"/>
      <c r="B159" s="15" t="s">
        <v>17</v>
      </c>
      <c r="C159" s="15">
        <v>41</v>
      </c>
      <c r="D159" s="10" t="s">
        <v>403</v>
      </c>
      <c r="E159" s="13">
        <v>2.5</v>
      </c>
      <c r="F159" s="12"/>
      <c r="G159" s="12" t="s">
        <v>402</v>
      </c>
      <c r="H159" s="12" t="s">
        <v>401</v>
      </c>
      <c r="I159" s="12"/>
      <c r="J159" s="12"/>
      <c r="K159" s="12"/>
      <c r="L159" s="12"/>
      <c r="M159" s="12"/>
      <c r="N159" s="12" t="s">
        <v>51</v>
      </c>
      <c r="O159" s="12"/>
      <c r="P159" s="12"/>
      <c r="Q159" s="12"/>
      <c r="R159" s="12"/>
      <c r="S159" s="12"/>
      <c r="T159" s="11">
        <v>3</v>
      </c>
      <c r="U159" s="11">
        <v>3</v>
      </c>
      <c r="V159" s="10">
        <f t="shared" si="14"/>
        <v>501</v>
      </c>
      <c r="W159" s="10">
        <f>[1]은행나무!G61</f>
        <v>49</v>
      </c>
      <c r="X159" s="10"/>
      <c r="Y159" s="10"/>
      <c r="Z159" s="10"/>
      <c r="AA159" s="10">
        <v>452</v>
      </c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</row>
    <row r="160" spans="1:54" s="1" customFormat="1" ht="16.5" customHeight="1" x14ac:dyDescent="0.3">
      <c r="A160" s="95"/>
      <c r="B160" s="15" t="s">
        <v>17</v>
      </c>
      <c r="C160" s="15">
        <v>42</v>
      </c>
      <c r="D160" s="10" t="s">
        <v>400</v>
      </c>
      <c r="E160" s="13">
        <v>4.4000000000000004</v>
      </c>
      <c r="F160" s="12"/>
      <c r="G160" s="12" t="s">
        <v>399</v>
      </c>
      <c r="H160" s="12" t="s">
        <v>398</v>
      </c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 t="s">
        <v>51</v>
      </c>
      <c r="T160" s="11" t="s">
        <v>50</v>
      </c>
      <c r="U160" s="11" t="s">
        <v>50</v>
      </c>
      <c r="V160" s="10">
        <f t="shared" si="14"/>
        <v>586</v>
      </c>
      <c r="W160" s="10">
        <f>[1]은행나무!G62</f>
        <v>586</v>
      </c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</row>
    <row r="161" spans="1:54" s="1" customFormat="1" ht="16.5" customHeight="1" x14ac:dyDescent="0.3">
      <c r="A161" s="95"/>
      <c r="B161" s="15" t="s">
        <v>17</v>
      </c>
      <c r="C161" s="15">
        <v>43</v>
      </c>
      <c r="D161" s="10" t="s">
        <v>397</v>
      </c>
      <c r="E161" s="13">
        <v>4.4000000000000004</v>
      </c>
      <c r="F161" s="12" t="s">
        <v>224</v>
      </c>
      <c r="G161" s="12" t="s">
        <v>396</v>
      </c>
      <c r="H161" s="12" t="s">
        <v>395</v>
      </c>
      <c r="I161" s="12"/>
      <c r="J161" s="12"/>
      <c r="K161" s="12"/>
      <c r="L161" s="12"/>
      <c r="M161" s="12"/>
      <c r="N161" s="12" t="s">
        <v>51</v>
      </c>
      <c r="O161" s="12"/>
      <c r="P161" s="12"/>
      <c r="Q161" s="12" t="s">
        <v>70</v>
      </c>
      <c r="R161" s="11" t="s">
        <v>221</v>
      </c>
      <c r="S161" s="12" t="s">
        <v>51</v>
      </c>
      <c r="T161" s="11" t="s">
        <v>68</v>
      </c>
      <c r="U161" s="11" t="s">
        <v>68</v>
      </c>
      <c r="V161" s="10">
        <f t="shared" si="14"/>
        <v>732</v>
      </c>
      <c r="W161" s="10">
        <f>[1]은행나무!G63</f>
        <v>675</v>
      </c>
      <c r="X161" s="10"/>
      <c r="Y161" s="10"/>
      <c r="Z161" s="10"/>
      <c r="AA161" s="10">
        <f>31+26</f>
        <v>57</v>
      </c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</row>
    <row r="162" spans="1:54" s="1" customFormat="1" ht="16.5" customHeight="1" x14ac:dyDescent="0.3">
      <c r="A162" s="95"/>
      <c r="B162" s="15" t="s">
        <v>17</v>
      </c>
      <c r="C162" s="15">
        <v>44</v>
      </c>
      <c r="D162" s="10" t="s">
        <v>394</v>
      </c>
      <c r="E162" s="13">
        <v>0.7</v>
      </c>
      <c r="F162" s="12"/>
      <c r="G162" s="12" t="s">
        <v>393</v>
      </c>
      <c r="H162" s="12" t="s">
        <v>392</v>
      </c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1">
        <v>3</v>
      </c>
      <c r="U162" s="11">
        <v>3</v>
      </c>
      <c r="V162" s="10">
        <f t="shared" si="14"/>
        <v>120</v>
      </c>
      <c r="W162" s="10">
        <f>[1]은행나무!G64</f>
        <v>120</v>
      </c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</row>
    <row r="163" spans="1:54" s="1" customFormat="1" ht="16.5" customHeight="1" x14ac:dyDescent="0.3">
      <c r="A163" s="95"/>
      <c r="B163" s="15" t="s">
        <v>17</v>
      </c>
      <c r="C163" s="15">
        <v>45</v>
      </c>
      <c r="D163" s="10" t="s">
        <v>391</v>
      </c>
      <c r="E163" s="13">
        <v>2</v>
      </c>
      <c r="F163" s="12"/>
      <c r="G163" s="21" t="s">
        <v>390</v>
      </c>
      <c r="H163" s="21" t="s">
        <v>389</v>
      </c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 t="s">
        <v>51</v>
      </c>
      <c r="T163" s="11" t="s">
        <v>50</v>
      </c>
      <c r="U163" s="11" t="s">
        <v>50</v>
      </c>
      <c r="V163" s="10">
        <f t="shared" si="14"/>
        <v>351</v>
      </c>
      <c r="W163" s="10">
        <f>[1]은행나무!G65</f>
        <v>351</v>
      </c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</row>
    <row r="164" spans="1:54" s="1" customFormat="1" ht="16.5" customHeight="1" x14ac:dyDescent="0.3">
      <c r="A164" s="95"/>
      <c r="B164" s="15" t="s">
        <v>17</v>
      </c>
      <c r="C164" s="15">
        <v>46</v>
      </c>
      <c r="D164" s="10" t="s">
        <v>388</v>
      </c>
      <c r="E164" s="13">
        <v>1.9</v>
      </c>
      <c r="F164" s="12"/>
      <c r="G164" s="12" t="s">
        <v>387</v>
      </c>
      <c r="H164" s="12" t="s">
        <v>386</v>
      </c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1">
        <v>3</v>
      </c>
      <c r="U164" s="11">
        <v>3</v>
      </c>
      <c r="V164" s="10">
        <f t="shared" si="14"/>
        <v>361</v>
      </c>
      <c r="W164" s="10"/>
      <c r="X164" s="10">
        <f>141+176</f>
        <v>317</v>
      </c>
      <c r="Y164" s="10">
        <v>5</v>
      </c>
      <c r="Z164" s="10"/>
      <c r="AA164" s="10">
        <f>34+1</f>
        <v>35</v>
      </c>
      <c r="AB164" s="10">
        <v>1</v>
      </c>
      <c r="AC164" s="10"/>
      <c r="AD164" s="10"/>
      <c r="AE164" s="10"/>
      <c r="AF164" s="10"/>
      <c r="AG164" s="10">
        <v>3</v>
      </c>
      <c r="AH164" s="10"/>
      <c r="AI164" s="10"/>
      <c r="AJ164" s="10"/>
      <c r="AK164" s="10"/>
      <c r="AL164" s="10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</row>
    <row r="165" spans="1:54" s="1" customFormat="1" ht="16.5" customHeight="1" x14ac:dyDescent="0.3">
      <c r="A165" s="95"/>
      <c r="B165" s="15" t="s">
        <v>17</v>
      </c>
      <c r="C165" s="15">
        <v>47</v>
      </c>
      <c r="D165" s="10" t="s">
        <v>385</v>
      </c>
      <c r="E165" s="13">
        <v>3.4</v>
      </c>
      <c r="F165" s="12"/>
      <c r="G165" s="12" t="s">
        <v>384</v>
      </c>
      <c r="H165" s="12" t="s">
        <v>383</v>
      </c>
      <c r="I165" s="12"/>
      <c r="J165" s="12"/>
      <c r="K165" s="12" t="s">
        <v>51</v>
      </c>
      <c r="L165" s="12" t="s">
        <v>382</v>
      </c>
      <c r="M165" s="12" t="s">
        <v>381</v>
      </c>
      <c r="N165" s="12" t="s">
        <v>51</v>
      </c>
      <c r="O165" s="12"/>
      <c r="P165" s="12"/>
      <c r="Q165" s="12"/>
      <c r="R165" s="12"/>
      <c r="S165" s="12"/>
      <c r="T165" s="11" t="s">
        <v>50</v>
      </c>
      <c r="U165" s="11" t="s">
        <v>50</v>
      </c>
      <c r="V165" s="10">
        <f t="shared" si="14"/>
        <v>1087</v>
      </c>
      <c r="W165" s="10">
        <f>[2]은행나무!G66</f>
        <v>30</v>
      </c>
      <c r="X165" s="10">
        <f>246+271</f>
        <v>517</v>
      </c>
      <c r="Y165" s="10">
        <f>264+276</f>
        <v>540</v>
      </c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</row>
    <row r="166" spans="1:54" s="1" customFormat="1" ht="16.5" customHeight="1" x14ac:dyDescent="0.3">
      <c r="A166" s="95"/>
      <c r="B166" s="15" t="s">
        <v>17</v>
      </c>
      <c r="C166" s="15">
        <v>48</v>
      </c>
      <c r="D166" s="10" t="s">
        <v>380</v>
      </c>
      <c r="E166" s="13">
        <v>3.9</v>
      </c>
      <c r="F166" s="12"/>
      <c r="G166" s="12" t="s">
        <v>379</v>
      </c>
      <c r="H166" s="12" t="s">
        <v>378</v>
      </c>
      <c r="I166" s="12"/>
      <c r="J166" s="12"/>
      <c r="K166" s="12" t="s">
        <v>51</v>
      </c>
      <c r="L166" s="12" t="s">
        <v>377</v>
      </c>
      <c r="M166" s="12" t="s">
        <v>376</v>
      </c>
      <c r="N166" s="12" t="s">
        <v>51</v>
      </c>
      <c r="O166" s="12"/>
      <c r="P166" s="12"/>
      <c r="Q166" s="12"/>
      <c r="R166" s="12"/>
      <c r="S166" s="12"/>
      <c r="T166" s="11" t="s">
        <v>50</v>
      </c>
      <c r="U166" s="11" t="s">
        <v>50</v>
      </c>
      <c r="V166" s="10">
        <f t="shared" si="14"/>
        <v>1324</v>
      </c>
      <c r="W166" s="10">
        <f>[2]은행나무!G67</f>
        <v>161</v>
      </c>
      <c r="X166" s="10">
        <f>230+266</f>
        <v>496</v>
      </c>
      <c r="Y166" s="10"/>
      <c r="Z166" s="10"/>
      <c r="AA166" s="10">
        <f>293+18+28+292+36</f>
        <v>667</v>
      </c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1:54" s="1" customFormat="1" ht="16.5" customHeight="1" x14ac:dyDescent="0.3">
      <c r="A167" s="95"/>
      <c r="B167" s="15" t="s">
        <v>17</v>
      </c>
      <c r="C167" s="15">
        <v>49</v>
      </c>
      <c r="D167" s="10" t="s">
        <v>375</v>
      </c>
      <c r="E167" s="13">
        <v>0.9</v>
      </c>
      <c r="F167" s="12"/>
      <c r="G167" s="12" t="s">
        <v>374</v>
      </c>
      <c r="H167" s="12" t="s">
        <v>373</v>
      </c>
      <c r="I167" s="12"/>
      <c r="J167" s="12"/>
      <c r="K167" s="12"/>
      <c r="L167" s="12"/>
      <c r="M167" s="12"/>
      <c r="N167" s="12" t="s">
        <v>51</v>
      </c>
      <c r="O167" s="12"/>
      <c r="P167" s="12"/>
      <c r="Q167" s="12"/>
      <c r="R167" s="12"/>
      <c r="S167" s="12"/>
      <c r="T167" s="11" t="s">
        <v>50</v>
      </c>
      <c r="U167" s="11" t="s">
        <v>50</v>
      </c>
      <c r="V167" s="10">
        <f t="shared" si="14"/>
        <v>223</v>
      </c>
      <c r="W167" s="10"/>
      <c r="X167" s="10"/>
      <c r="Y167" s="10"/>
      <c r="Z167" s="10"/>
      <c r="AA167" s="10">
        <f>110+113</f>
        <v>223</v>
      </c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</row>
    <row r="168" spans="1:54" s="1" customFormat="1" ht="16.5" customHeight="1" x14ac:dyDescent="0.3">
      <c r="A168" s="95"/>
      <c r="B168" s="15" t="s">
        <v>17</v>
      </c>
      <c r="C168" s="15">
        <v>50</v>
      </c>
      <c r="D168" s="10" t="s">
        <v>372</v>
      </c>
      <c r="E168" s="13">
        <v>2.4</v>
      </c>
      <c r="F168" s="12"/>
      <c r="G168" s="12" t="s">
        <v>371</v>
      </c>
      <c r="H168" s="12" t="s">
        <v>370</v>
      </c>
      <c r="I168" s="12"/>
      <c r="J168" s="12"/>
      <c r="K168" s="12"/>
      <c r="L168" s="12"/>
      <c r="M168" s="12"/>
      <c r="N168" s="12" t="s">
        <v>51</v>
      </c>
      <c r="O168" s="12"/>
      <c r="P168" s="12"/>
      <c r="Q168" s="12"/>
      <c r="R168" s="12"/>
      <c r="S168" s="12"/>
      <c r="T168" s="11" t="s">
        <v>50</v>
      </c>
      <c r="U168" s="11" t="s">
        <v>50</v>
      </c>
      <c r="V168" s="10">
        <f t="shared" si="14"/>
        <v>324</v>
      </c>
      <c r="W168" s="10"/>
      <c r="X168" s="10"/>
      <c r="Y168" s="10">
        <v>324</v>
      </c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  <row r="169" spans="1:54" s="1" customFormat="1" ht="16.5" customHeight="1" x14ac:dyDescent="0.3">
      <c r="A169" s="95"/>
      <c r="B169" s="15" t="s">
        <v>17</v>
      </c>
      <c r="C169" s="15">
        <v>51</v>
      </c>
      <c r="D169" s="10" t="s">
        <v>369</v>
      </c>
      <c r="E169" s="13">
        <v>2.9</v>
      </c>
      <c r="F169" s="12"/>
      <c r="G169" s="12" t="s">
        <v>368</v>
      </c>
      <c r="H169" s="12" t="s">
        <v>367</v>
      </c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1" t="s">
        <v>50</v>
      </c>
      <c r="U169" s="11" t="s">
        <v>50</v>
      </c>
      <c r="V169" s="10">
        <f t="shared" si="14"/>
        <v>507</v>
      </c>
      <c r="W169" s="10"/>
      <c r="X169" s="10"/>
      <c r="Y169" s="10"/>
      <c r="Z169" s="10"/>
      <c r="AA169" s="10">
        <f>256+251</f>
        <v>507</v>
      </c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</row>
    <row r="170" spans="1:54" s="1" customFormat="1" ht="16.5" customHeight="1" x14ac:dyDescent="0.3">
      <c r="A170" s="95"/>
      <c r="B170" s="15" t="s">
        <v>17</v>
      </c>
      <c r="C170" s="15">
        <v>52</v>
      </c>
      <c r="D170" s="10" t="s">
        <v>366</v>
      </c>
      <c r="E170" s="13">
        <v>2.2000000000000002</v>
      </c>
      <c r="F170" s="12" t="s">
        <v>224</v>
      </c>
      <c r="G170" s="12" t="s">
        <v>365</v>
      </c>
      <c r="H170" s="12" t="s">
        <v>364</v>
      </c>
      <c r="I170" s="12"/>
      <c r="J170" s="12"/>
      <c r="K170" s="12"/>
      <c r="L170" s="12"/>
      <c r="M170" s="12"/>
      <c r="N170" s="12" t="s">
        <v>51</v>
      </c>
      <c r="O170" s="12"/>
      <c r="P170" s="12"/>
      <c r="Q170" s="12" t="s">
        <v>70</v>
      </c>
      <c r="R170" s="11" t="s">
        <v>221</v>
      </c>
      <c r="S170" s="12"/>
      <c r="T170" s="11" t="s">
        <v>68</v>
      </c>
      <c r="U170" s="11" t="s">
        <v>68</v>
      </c>
      <c r="V170" s="10">
        <f t="shared" si="14"/>
        <v>780</v>
      </c>
      <c r="W170" s="10"/>
      <c r="X170" s="10">
        <f>154+144</f>
        <v>298</v>
      </c>
      <c r="Y170" s="10"/>
      <c r="Z170" s="10"/>
      <c r="AA170" s="10">
        <v>482</v>
      </c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</row>
    <row r="171" spans="1:54" s="1" customFormat="1" ht="16.5" customHeight="1" x14ac:dyDescent="0.3">
      <c r="A171" s="95"/>
      <c r="B171" s="15" t="s">
        <v>17</v>
      </c>
      <c r="C171" s="15">
        <v>53</v>
      </c>
      <c r="D171" s="10" t="s">
        <v>363</v>
      </c>
      <c r="E171" s="13">
        <v>2.7</v>
      </c>
      <c r="F171" s="12"/>
      <c r="G171" s="12" t="s">
        <v>362</v>
      </c>
      <c r="H171" s="12" t="s">
        <v>361</v>
      </c>
      <c r="I171" s="12"/>
      <c r="J171" s="12"/>
      <c r="K171" s="12"/>
      <c r="L171" s="12"/>
      <c r="M171" s="12"/>
      <c r="N171" s="12"/>
      <c r="O171" s="12" t="s">
        <v>360</v>
      </c>
      <c r="P171" s="12"/>
      <c r="Q171" s="12"/>
      <c r="R171" s="12"/>
      <c r="S171" s="12"/>
      <c r="T171" s="11">
        <v>3</v>
      </c>
      <c r="U171" s="11">
        <v>4</v>
      </c>
      <c r="V171" s="10">
        <f t="shared" si="14"/>
        <v>878</v>
      </c>
      <c r="W171" s="10"/>
      <c r="X171" s="10">
        <f>164+148</f>
        <v>312</v>
      </c>
      <c r="Y171" s="10">
        <v>462</v>
      </c>
      <c r="Z171" s="10"/>
      <c r="AA171" s="10">
        <f>104</f>
        <v>104</v>
      </c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</row>
    <row r="172" spans="1:54" s="1" customFormat="1" ht="16.5" customHeight="1" x14ac:dyDescent="0.3">
      <c r="A172" s="95"/>
      <c r="B172" s="15" t="s">
        <v>17</v>
      </c>
      <c r="C172" s="15">
        <v>54</v>
      </c>
      <c r="D172" s="10" t="s">
        <v>359</v>
      </c>
      <c r="E172" s="13">
        <v>2.5</v>
      </c>
      <c r="F172" s="12"/>
      <c r="G172" s="12" t="s">
        <v>358</v>
      </c>
      <c r="H172" s="12" t="s">
        <v>357</v>
      </c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1" t="s">
        <v>90</v>
      </c>
      <c r="U172" s="11" t="s">
        <v>356</v>
      </c>
      <c r="V172" s="10">
        <f t="shared" si="14"/>
        <v>397</v>
      </c>
      <c r="W172" s="10"/>
      <c r="X172" s="10"/>
      <c r="Y172" s="10"/>
      <c r="Z172" s="10"/>
      <c r="AA172" s="10">
        <f>205+192</f>
        <v>397</v>
      </c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</row>
    <row r="173" spans="1:54" s="1" customFormat="1" ht="16.5" customHeight="1" x14ac:dyDescent="0.3">
      <c r="A173" s="95"/>
      <c r="B173" s="15" t="s">
        <v>17</v>
      </c>
      <c r="C173" s="15">
        <v>55</v>
      </c>
      <c r="D173" s="10" t="s">
        <v>355</v>
      </c>
      <c r="E173" s="13">
        <v>1.6</v>
      </c>
      <c r="F173" s="12"/>
      <c r="G173" s="12" t="s">
        <v>354</v>
      </c>
      <c r="H173" s="12" t="s">
        <v>353</v>
      </c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1">
        <v>2.5</v>
      </c>
      <c r="U173" s="11">
        <v>2.5</v>
      </c>
      <c r="V173" s="10">
        <f t="shared" si="14"/>
        <v>287</v>
      </c>
      <c r="W173" s="10"/>
      <c r="X173" s="10">
        <v>39</v>
      </c>
      <c r="Y173" s="10"/>
      <c r="Z173" s="10"/>
      <c r="AA173" s="10">
        <f>117+131</f>
        <v>248</v>
      </c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</row>
    <row r="174" spans="1:54" s="1" customFormat="1" ht="16.5" customHeight="1" x14ac:dyDescent="0.3">
      <c r="A174" s="95"/>
      <c r="B174" s="15" t="s">
        <v>17</v>
      </c>
      <c r="C174" s="15">
        <v>56</v>
      </c>
      <c r="D174" s="10" t="s">
        <v>352</v>
      </c>
      <c r="E174" s="13">
        <v>3.4</v>
      </c>
      <c r="F174" s="12"/>
      <c r="G174" s="12" t="s">
        <v>351</v>
      </c>
      <c r="H174" s="12" t="s">
        <v>350</v>
      </c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1">
        <v>3</v>
      </c>
      <c r="U174" s="11">
        <v>3</v>
      </c>
      <c r="V174" s="10">
        <f t="shared" si="14"/>
        <v>622</v>
      </c>
      <c r="W174" s="10"/>
      <c r="X174" s="10"/>
      <c r="Y174" s="10"/>
      <c r="Z174" s="10"/>
      <c r="AA174" s="10">
        <v>56</v>
      </c>
      <c r="AB174" s="10">
        <v>566</v>
      </c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</row>
    <row r="175" spans="1:54" s="1" customFormat="1" ht="16.5" customHeight="1" x14ac:dyDescent="0.3">
      <c r="A175" s="95"/>
      <c r="B175" s="15" t="s">
        <v>17</v>
      </c>
      <c r="C175" s="15">
        <v>57</v>
      </c>
      <c r="D175" s="10" t="s">
        <v>349</v>
      </c>
      <c r="E175" s="13">
        <v>0.1</v>
      </c>
      <c r="F175" s="12"/>
      <c r="G175" s="12" t="s">
        <v>348</v>
      </c>
      <c r="H175" s="12" t="s">
        <v>347</v>
      </c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1">
        <v>2</v>
      </c>
      <c r="U175" s="11">
        <v>2</v>
      </c>
      <c r="V175" s="10">
        <f t="shared" si="14"/>
        <v>27</v>
      </c>
      <c r="W175" s="10">
        <f>[2]은행나무!G68</f>
        <v>14</v>
      </c>
      <c r="X175" s="10"/>
      <c r="Y175" s="10"/>
      <c r="Z175" s="10"/>
      <c r="AA175" s="10">
        <v>13</v>
      </c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</row>
    <row r="176" spans="1:54" s="1" customFormat="1" ht="16.5" customHeight="1" x14ac:dyDescent="0.3">
      <c r="A176" s="95"/>
      <c r="B176" s="15" t="s">
        <v>17</v>
      </c>
      <c r="C176" s="15">
        <v>58</v>
      </c>
      <c r="D176" s="10" t="s">
        <v>346</v>
      </c>
      <c r="E176" s="13">
        <v>0.5</v>
      </c>
      <c r="F176" s="12"/>
      <c r="G176" s="12" t="s">
        <v>345</v>
      </c>
      <c r="H176" s="12" t="s">
        <v>344</v>
      </c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1">
        <v>2.5</v>
      </c>
      <c r="U176" s="11">
        <v>2.5</v>
      </c>
      <c r="V176" s="10">
        <f t="shared" si="14"/>
        <v>112</v>
      </c>
      <c r="W176" s="10"/>
      <c r="X176" s="10">
        <f>15+35</f>
        <v>50</v>
      </c>
      <c r="Y176" s="10"/>
      <c r="Z176" s="10"/>
      <c r="AA176" s="10">
        <f>46+16</f>
        <v>62</v>
      </c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</row>
    <row r="177" spans="1:54" s="1" customFormat="1" ht="16.5" customHeight="1" x14ac:dyDescent="0.3">
      <c r="A177" s="95"/>
      <c r="B177" s="15" t="s">
        <v>17</v>
      </c>
      <c r="C177" s="15">
        <v>59</v>
      </c>
      <c r="D177" s="10" t="s">
        <v>343</v>
      </c>
      <c r="E177" s="13">
        <v>0.1</v>
      </c>
      <c r="F177" s="12"/>
      <c r="G177" s="12" t="s">
        <v>342</v>
      </c>
      <c r="H177" s="12" t="s">
        <v>341</v>
      </c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1">
        <v>2.5</v>
      </c>
      <c r="U177" s="11">
        <v>2.5</v>
      </c>
      <c r="V177" s="10">
        <f t="shared" si="14"/>
        <v>25</v>
      </c>
      <c r="W177" s="10">
        <f>[2]은행나무!G69</f>
        <v>15</v>
      </c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>
        <v>10</v>
      </c>
      <c r="AK177" s="10"/>
      <c r="AL177" s="10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</row>
    <row r="178" spans="1:54" s="1" customFormat="1" ht="16.5" customHeight="1" x14ac:dyDescent="0.3">
      <c r="A178" s="95"/>
      <c r="B178" s="15" t="s">
        <v>17</v>
      </c>
      <c r="C178" s="15">
        <v>60</v>
      </c>
      <c r="D178" s="10" t="s">
        <v>340</v>
      </c>
      <c r="E178" s="13">
        <v>0.1</v>
      </c>
      <c r="F178" s="12"/>
      <c r="G178" s="12" t="s">
        <v>339</v>
      </c>
      <c r="H178" s="12" t="s">
        <v>338</v>
      </c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 t="s">
        <v>51</v>
      </c>
      <c r="T178" s="11">
        <v>2.5</v>
      </c>
      <c r="U178" s="11">
        <v>2.5</v>
      </c>
      <c r="V178" s="10">
        <f t="shared" si="14"/>
        <v>30</v>
      </c>
      <c r="W178" s="10">
        <f>[2]은행나무!G70</f>
        <v>30</v>
      </c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</row>
    <row r="179" spans="1:54" s="1" customFormat="1" ht="16.5" customHeight="1" x14ac:dyDescent="0.3">
      <c r="A179" s="95"/>
      <c r="B179" s="15" t="s">
        <v>17</v>
      </c>
      <c r="C179" s="15">
        <v>61</v>
      </c>
      <c r="D179" s="10" t="s">
        <v>337</v>
      </c>
      <c r="E179" s="13">
        <v>0.3</v>
      </c>
      <c r="F179" s="12"/>
      <c r="G179" s="12" t="s">
        <v>334</v>
      </c>
      <c r="H179" s="12" t="s">
        <v>336</v>
      </c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1">
        <v>3</v>
      </c>
      <c r="U179" s="11">
        <v>3</v>
      </c>
      <c r="V179" s="10">
        <f t="shared" si="14"/>
        <v>53</v>
      </c>
      <c r="W179" s="10"/>
      <c r="X179" s="10"/>
      <c r="Y179" s="10"/>
      <c r="Z179" s="10"/>
      <c r="AA179" s="10"/>
      <c r="AB179" s="10"/>
      <c r="AC179" s="10"/>
      <c r="AD179" s="10">
        <f>30+23</f>
        <v>53</v>
      </c>
      <c r="AE179" s="10"/>
      <c r="AF179" s="10"/>
      <c r="AG179" s="10"/>
      <c r="AH179" s="10"/>
      <c r="AI179" s="10"/>
      <c r="AJ179" s="10"/>
      <c r="AK179" s="10"/>
      <c r="AL179" s="10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</row>
    <row r="180" spans="1:54" s="1" customFormat="1" ht="16.5" customHeight="1" x14ac:dyDescent="0.3">
      <c r="A180" s="95"/>
      <c r="B180" s="15" t="s">
        <v>17</v>
      </c>
      <c r="C180" s="15">
        <v>62</v>
      </c>
      <c r="D180" s="10" t="s">
        <v>335</v>
      </c>
      <c r="E180" s="13">
        <v>0.1</v>
      </c>
      <c r="F180" s="12"/>
      <c r="G180" s="12" t="s">
        <v>334</v>
      </c>
      <c r="H180" s="12" t="s">
        <v>333</v>
      </c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1">
        <v>4</v>
      </c>
      <c r="U180" s="11">
        <v>4</v>
      </c>
      <c r="V180" s="10">
        <f t="shared" si="14"/>
        <v>28</v>
      </c>
      <c r="W180" s="10">
        <f>[2]은행나무!G71</f>
        <v>28</v>
      </c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</row>
    <row r="181" spans="1:54" s="1" customFormat="1" ht="16.5" customHeight="1" x14ac:dyDescent="0.3">
      <c r="A181" s="95"/>
      <c r="B181" s="15" t="s">
        <v>17</v>
      </c>
      <c r="C181" s="15">
        <v>63</v>
      </c>
      <c r="D181" s="10" t="s">
        <v>332</v>
      </c>
      <c r="E181" s="13">
        <v>0.2</v>
      </c>
      <c r="F181" s="12"/>
      <c r="G181" s="12" t="s">
        <v>331</v>
      </c>
      <c r="H181" s="12" t="s">
        <v>330</v>
      </c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1">
        <v>2.5</v>
      </c>
      <c r="U181" s="11">
        <v>2.5</v>
      </c>
      <c r="V181" s="10">
        <f t="shared" si="14"/>
        <v>42</v>
      </c>
      <c r="W181" s="10">
        <f>[2]은행나무!G72</f>
        <v>42</v>
      </c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</row>
    <row r="182" spans="1:54" s="1" customFormat="1" ht="27.95" customHeight="1" x14ac:dyDescent="0.3">
      <c r="A182" s="95"/>
      <c r="B182" s="15" t="s">
        <v>17</v>
      </c>
      <c r="C182" s="15">
        <v>64</v>
      </c>
      <c r="D182" s="10" t="s">
        <v>329</v>
      </c>
      <c r="E182" s="13">
        <v>0.4</v>
      </c>
      <c r="F182" s="12"/>
      <c r="G182" s="12" t="s">
        <v>328</v>
      </c>
      <c r="H182" s="12" t="s">
        <v>327</v>
      </c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1">
        <v>2.5</v>
      </c>
      <c r="U182" s="11">
        <v>2.5</v>
      </c>
      <c r="V182" s="10">
        <f t="shared" si="14"/>
        <v>57</v>
      </c>
      <c r="W182" s="10">
        <v>57</v>
      </c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</row>
    <row r="183" spans="1:54" s="1" customFormat="1" ht="16.5" customHeight="1" x14ac:dyDescent="0.3">
      <c r="A183" s="95"/>
      <c r="B183" s="15" t="s">
        <v>17</v>
      </c>
      <c r="C183" s="15">
        <v>65</v>
      </c>
      <c r="D183" s="10" t="s">
        <v>326</v>
      </c>
      <c r="E183" s="13">
        <v>0.4</v>
      </c>
      <c r="F183" s="12"/>
      <c r="G183" s="12" t="s">
        <v>325</v>
      </c>
      <c r="H183" s="12" t="s">
        <v>324</v>
      </c>
      <c r="I183" s="12"/>
      <c r="J183" s="12"/>
      <c r="K183" s="12"/>
      <c r="L183" s="12"/>
      <c r="M183" s="12"/>
      <c r="N183" s="12" t="s">
        <v>51</v>
      </c>
      <c r="O183" s="12"/>
      <c r="P183" s="12"/>
      <c r="Q183" s="12"/>
      <c r="R183" s="12"/>
      <c r="S183" s="12"/>
      <c r="T183" s="11">
        <v>3</v>
      </c>
      <c r="U183" s="11">
        <v>3</v>
      </c>
      <c r="V183" s="10">
        <f t="shared" ref="V183:V214" si="15">SUM(W183:AJ183)</f>
        <v>91</v>
      </c>
      <c r="W183" s="10"/>
      <c r="X183" s="10">
        <f>46+45</f>
        <v>91</v>
      </c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</row>
    <row r="184" spans="1:54" s="1" customFormat="1" ht="16.5" customHeight="1" x14ac:dyDescent="0.3">
      <c r="A184" s="95"/>
      <c r="B184" s="15" t="s">
        <v>17</v>
      </c>
      <c r="C184" s="15">
        <v>66</v>
      </c>
      <c r="D184" s="10" t="s">
        <v>323</v>
      </c>
      <c r="E184" s="13">
        <v>0.5</v>
      </c>
      <c r="F184" s="12"/>
      <c r="G184" s="12" t="s">
        <v>322</v>
      </c>
      <c r="H184" s="12" t="s">
        <v>321</v>
      </c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1">
        <v>2.5</v>
      </c>
      <c r="U184" s="11">
        <v>2.5</v>
      </c>
      <c r="V184" s="10">
        <f t="shared" si="15"/>
        <v>90</v>
      </c>
      <c r="W184" s="10"/>
      <c r="X184" s="10">
        <f>90</f>
        <v>90</v>
      </c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</row>
    <row r="185" spans="1:54" s="1" customFormat="1" ht="16.5" customHeight="1" x14ac:dyDescent="0.3">
      <c r="A185" s="95"/>
      <c r="B185" s="15" t="s">
        <v>17</v>
      </c>
      <c r="C185" s="15">
        <v>67</v>
      </c>
      <c r="D185" s="10" t="s">
        <v>320</v>
      </c>
      <c r="E185" s="13">
        <v>0.7</v>
      </c>
      <c r="F185" s="12"/>
      <c r="G185" s="12" t="s">
        <v>319</v>
      </c>
      <c r="H185" s="12" t="s">
        <v>318</v>
      </c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1" t="s">
        <v>317</v>
      </c>
      <c r="U185" s="11" t="s">
        <v>317</v>
      </c>
      <c r="V185" s="10">
        <f t="shared" si="15"/>
        <v>102</v>
      </c>
      <c r="W185" s="10"/>
      <c r="X185" s="10">
        <f>54+48</f>
        <v>102</v>
      </c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</row>
    <row r="186" spans="1:54" s="1" customFormat="1" ht="16.5" customHeight="1" x14ac:dyDescent="0.3">
      <c r="A186" s="95"/>
      <c r="B186" s="15" t="s">
        <v>17</v>
      </c>
      <c r="C186" s="15">
        <v>68</v>
      </c>
      <c r="D186" s="10" t="s">
        <v>316</v>
      </c>
      <c r="E186" s="13">
        <v>1.7</v>
      </c>
      <c r="F186" s="12"/>
      <c r="G186" s="12" t="s">
        <v>315</v>
      </c>
      <c r="H186" s="12" t="s">
        <v>314</v>
      </c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1" t="s">
        <v>50</v>
      </c>
      <c r="U186" s="11" t="s">
        <v>50</v>
      </c>
      <c r="V186" s="10">
        <f t="shared" si="15"/>
        <v>156</v>
      </c>
      <c r="W186" s="10"/>
      <c r="X186" s="10">
        <f>36+32</f>
        <v>68</v>
      </c>
      <c r="Y186" s="10"/>
      <c r="Z186" s="10"/>
      <c r="AA186" s="10"/>
      <c r="AB186" s="10">
        <v>88</v>
      </c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</row>
    <row r="187" spans="1:54" s="1" customFormat="1" ht="16.5" customHeight="1" x14ac:dyDescent="0.3">
      <c r="A187" s="95"/>
      <c r="B187" s="15" t="s">
        <v>17</v>
      </c>
      <c r="C187" s="15">
        <v>69</v>
      </c>
      <c r="D187" s="10" t="s">
        <v>313</v>
      </c>
      <c r="E187" s="13">
        <v>0.4</v>
      </c>
      <c r="F187" s="12"/>
      <c r="G187" s="12" t="s">
        <v>312</v>
      </c>
      <c r="H187" s="12" t="s">
        <v>311</v>
      </c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1">
        <v>2.5</v>
      </c>
      <c r="U187" s="11">
        <v>2.5</v>
      </c>
      <c r="V187" s="10">
        <f t="shared" si="15"/>
        <v>70</v>
      </c>
      <c r="W187" s="10"/>
      <c r="X187" s="10"/>
      <c r="Y187" s="10"/>
      <c r="Z187" s="10" t="s">
        <v>310</v>
      </c>
      <c r="AA187" s="10">
        <v>70</v>
      </c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</row>
    <row r="188" spans="1:54" s="1" customFormat="1" ht="16.5" customHeight="1" x14ac:dyDescent="0.3">
      <c r="A188" s="95"/>
      <c r="B188" s="15" t="s">
        <v>17</v>
      </c>
      <c r="C188" s="15">
        <v>70</v>
      </c>
      <c r="D188" s="10" t="s">
        <v>309</v>
      </c>
      <c r="E188" s="13">
        <v>5.6</v>
      </c>
      <c r="F188" s="12"/>
      <c r="G188" s="12" t="s">
        <v>308</v>
      </c>
      <c r="H188" s="12" t="s">
        <v>307</v>
      </c>
      <c r="I188" s="12"/>
      <c r="J188" s="12"/>
      <c r="K188" s="12" t="s">
        <v>51</v>
      </c>
      <c r="L188" s="12" t="s">
        <v>306</v>
      </c>
      <c r="M188" s="12" t="s">
        <v>305</v>
      </c>
      <c r="N188" s="12" t="s">
        <v>51</v>
      </c>
      <c r="O188" s="12"/>
      <c r="P188" s="12"/>
      <c r="Q188" s="12"/>
      <c r="R188" s="12"/>
      <c r="S188" s="12" t="s">
        <v>51</v>
      </c>
      <c r="T188" s="11">
        <v>3</v>
      </c>
      <c r="U188" s="11">
        <v>2.5</v>
      </c>
      <c r="V188" s="10">
        <f t="shared" si="15"/>
        <v>1299</v>
      </c>
      <c r="W188" s="10">
        <f>[2]은행나무!G74</f>
        <v>88</v>
      </c>
      <c r="X188" s="10">
        <f>125+139</f>
        <v>264</v>
      </c>
      <c r="Y188" s="10"/>
      <c r="Z188" s="10"/>
      <c r="AA188" s="10">
        <v>520</v>
      </c>
      <c r="AB188" s="10"/>
      <c r="AC188" s="10"/>
      <c r="AD188" s="10"/>
      <c r="AE188" s="10"/>
      <c r="AF188" s="10"/>
      <c r="AG188" s="10">
        <f>151+276</f>
        <v>427</v>
      </c>
      <c r="AH188" s="10"/>
      <c r="AI188" s="10"/>
      <c r="AJ188" s="10"/>
      <c r="AK188" s="10"/>
      <c r="AL188" s="10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</row>
    <row r="189" spans="1:54" s="1" customFormat="1" ht="16.5" customHeight="1" x14ac:dyDescent="0.3">
      <c r="A189" s="95"/>
      <c r="B189" s="15" t="s">
        <v>17</v>
      </c>
      <c r="C189" s="15">
        <v>71</v>
      </c>
      <c r="D189" s="10" t="s">
        <v>304</v>
      </c>
      <c r="E189" s="13">
        <v>0.4</v>
      </c>
      <c r="F189" s="12"/>
      <c r="G189" s="12" t="s">
        <v>303</v>
      </c>
      <c r="H189" s="12" t="s">
        <v>302</v>
      </c>
      <c r="I189" s="12"/>
      <c r="J189" s="12"/>
      <c r="K189" s="12"/>
      <c r="L189" s="12"/>
      <c r="M189" s="12"/>
      <c r="N189" s="12" t="s">
        <v>51</v>
      </c>
      <c r="O189" s="12"/>
      <c r="P189" s="12"/>
      <c r="Q189" s="12"/>
      <c r="R189" s="12"/>
      <c r="S189" s="12"/>
      <c r="T189" s="11">
        <v>3</v>
      </c>
      <c r="U189" s="11">
        <v>3</v>
      </c>
      <c r="V189" s="10">
        <f t="shared" si="15"/>
        <v>57</v>
      </c>
      <c r="W189" s="10"/>
      <c r="X189" s="10"/>
      <c r="Y189" s="10"/>
      <c r="Z189" s="10"/>
      <c r="AA189" s="10">
        <f>32+25</f>
        <v>57</v>
      </c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</row>
    <row r="190" spans="1:54" s="1" customFormat="1" ht="16.5" customHeight="1" x14ac:dyDescent="0.3">
      <c r="A190" s="95"/>
      <c r="B190" s="15" t="s">
        <v>17</v>
      </c>
      <c r="C190" s="15">
        <v>72</v>
      </c>
      <c r="D190" s="10" t="s">
        <v>301</v>
      </c>
      <c r="E190" s="13">
        <v>0.2</v>
      </c>
      <c r="F190" s="12"/>
      <c r="G190" s="12" t="s">
        <v>300</v>
      </c>
      <c r="H190" s="12" t="s">
        <v>299</v>
      </c>
      <c r="I190" s="12"/>
      <c r="J190" s="12"/>
      <c r="K190" s="12"/>
      <c r="L190" s="12"/>
      <c r="M190" s="12"/>
      <c r="N190" s="12" t="s">
        <v>51</v>
      </c>
      <c r="O190" s="12"/>
      <c r="P190" s="12"/>
      <c r="Q190" s="12"/>
      <c r="R190" s="12"/>
      <c r="S190" s="12"/>
      <c r="T190" s="11">
        <v>2.5</v>
      </c>
      <c r="U190" s="11">
        <v>2.5</v>
      </c>
      <c r="V190" s="10">
        <f t="shared" si="15"/>
        <v>33</v>
      </c>
      <c r="W190" s="10"/>
      <c r="X190" s="10"/>
      <c r="Y190" s="10"/>
      <c r="Z190" s="10"/>
      <c r="AA190" s="10">
        <f>17+16</f>
        <v>33</v>
      </c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</row>
    <row r="191" spans="1:54" s="1" customFormat="1" ht="16.5" customHeight="1" x14ac:dyDescent="0.3">
      <c r="A191" s="95"/>
      <c r="B191" s="15" t="s">
        <v>17</v>
      </c>
      <c r="C191" s="15">
        <v>73</v>
      </c>
      <c r="D191" s="10" t="s">
        <v>298</v>
      </c>
      <c r="E191" s="13">
        <v>0.2</v>
      </c>
      <c r="F191" s="12"/>
      <c r="G191" s="12" t="s">
        <v>297</v>
      </c>
      <c r="H191" s="12" t="s">
        <v>296</v>
      </c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1">
        <v>3</v>
      </c>
      <c r="U191" s="11">
        <v>3</v>
      </c>
      <c r="V191" s="10">
        <f t="shared" si="15"/>
        <v>29</v>
      </c>
      <c r="W191" s="10">
        <f>[2]은행나무!G75</f>
        <v>21</v>
      </c>
      <c r="X191" s="10"/>
      <c r="Y191" s="10"/>
      <c r="Z191" s="10"/>
      <c r="AA191" s="10">
        <f>4+4</f>
        <v>8</v>
      </c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</row>
    <row r="192" spans="1:54" s="1" customFormat="1" ht="16.5" customHeight="1" x14ac:dyDescent="0.3">
      <c r="A192" s="95"/>
      <c r="B192" s="15" t="s">
        <v>17</v>
      </c>
      <c r="C192" s="15">
        <v>74</v>
      </c>
      <c r="D192" s="10" t="s">
        <v>295</v>
      </c>
      <c r="E192" s="13">
        <v>0.3</v>
      </c>
      <c r="F192" s="12"/>
      <c r="G192" s="12" t="s">
        <v>294</v>
      </c>
      <c r="H192" s="12" t="s">
        <v>293</v>
      </c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1">
        <v>3</v>
      </c>
      <c r="U192" s="11">
        <v>3</v>
      </c>
      <c r="V192" s="10">
        <f t="shared" si="15"/>
        <v>73</v>
      </c>
      <c r="W192" s="10"/>
      <c r="X192" s="10"/>
      <c r="Y192" s="10"/>
      <c r="Z192" s="10"/>
      <c r="AA192" s="10">
        <f>38+35</f>
        <v>73</v>
      </c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</row>
    <row r="193" spans="1:54" s="1" customFormat="1" ht="16.5" customHeight="1" x14ac:dyDescent="0.3">
      <c r="A193" s="95"/>
      <c r="B193" s="15" t="s">
        <v>17</v>
      </c>
      <c r="C193" s="15">
        <v>75</v>
      </c>
      <c r="D193" s="10" t="s">
        <v>292</v>
      </c>
      <c r="E193" s="13">
        <v>0.2</v>
      </c>
      <c r="F193" s="12"/>
      <c r="G193" s="12" t="s">
        <v>291</v>
      </c>
      <c r="H193" s="12" t="s">
        <v>290</v>
      </c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1">
        <v>2.5</v>
      </c>
      <c r="U193" s="11">
        <v>3</v>
      </c>
      <c r="V193" s="10">
        <f t="shared" si="15"/>
        <v>43</v>
      </c>
      <c r="W193" s="10"/>
      <c r="X193" s="10"/>
      <c r="Y193" s="10"/>
      <c r="Z193" s="10"/>
      <c r="AA193" s="10">
        <v>43</v>
      </c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</row>
    <row r="194" spans="1:54" s="1" customFormat="1" ht="16.5" customHeight="1" x14ac:dyDescent="0.3">
      <c r="A194" s="95"/>
      <c r="B194" s="15" t="s">
        <v>17</v>
      </c>
      <c r="C194" s="15">
        <v>76</v>
      </c>
      <c r="D194" s="10" t="s">
        <v>289</v>
      </c>
      <c r="E194" s="13">
        <v>0.2</v>
      </c>
      <c r="F194" s="12"/>
      <c r="G194" s="12" t="s">
        <v>288</v>
      </c>
      <c r="H194" s="12" t="s">
        <v>287</v>
      </c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1">
        <v>2.5</v>
      </c>
      <c r="U194" s="11">
        <v>2.5</v>
      </c>
      <c r="V194" s="10">
        <f t="shared" si="15"/>
        <v>24</v>
      </c>
      <c r="W194" s="10"/>
      <c r="X194" s="10"/>
      <c r="Y194" s="10"/>
      <c r="Z194" s="10"/>
      <c r="AA194" s="10"/>
      <c r="AB194" s="10"/>
      <c r="AC194" s="10"/>
      <c r="AD194" s="10"/>
      <c r="AE194" s="10"/>
      <c r="AF194" s="10">
        <f>17+7</f>
        <v>24</v>
      </c>
      <c r="AG194" s="10"/>
      <c r="AH194" s="10"/>
      <c r="AI194" s="10"/>
      <c r="AJ194" s="10"/>
      <c r="AK194" s="10"/>
      <c r="AL194" s="10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</row>
    <row r="195" spans="1:54" s="1" customFormat="1" ht="16.5" customHeight="1" x14ac:dyDescent="0.3">
      <c r="A195" s="95"/>
      <c r="B195" s="15" t="s">
        <v>17</v>
      </c>
      <c r="C195" s="15">
        <v>77</v>
      </c>
      <c r="D195" s="10" t="s">
        <v>286</v>
      </c>
      <c r="E195" s="13">
        <v>0.3</v>
      </c>
      <c r="F195" s="12"/>
      <c r="G195" s="12" t="s">
        <v>285</v>
      </c>
      <c r="H195" s="12" t="s">
        <v>284</v>
      </c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1">
        <v>2.5</v>
      </c>
      <c r="U195" s="11">
        <v>2.5</v>
      </c>
      <c r="V195" s="10">
        <f t="shared" si="15"/>
        <v>52</v>
      </c>
      <c r="W195" s="10"/>
      <c r="X195" s="10"/>
      <c r="Y195" s="10"/>
      <c r="Z195" s="10"/>
      <c r="AA195" s="10"/>
      <c r="AB195" s="10"/>
      <c r="AC195" s="10"/>
      <c r="AD195" s="10"/>
      <c r="AE195" s="10"/>
      <c r="AF195" s="10">
        <f>27+25</f>
        <v>52</v>
      </c>
      <c r="AG195" s="10"/>
      <c r="AH195" s="10"/>
      <c r="AI195" s="10"/>
      <c r="AJ195" s="10"/>
      <c r="AK195" s="10"/>
      <c r="AL195" s="10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</row>
    <row r="196" spans="1:54" s="1" customFormat="1" ht="16.5" customHeight="1" x14ac:dyDescent="0.3">
      <c r="A196" s="95"/>
      <c r="B196" s="15" t="s">
        <v>17</v>
      </c>
      <c r="C196" s="15">
        <v>78</v>
      </c>
      <c r="D196" s="10" t="s">
        <v>283</v>
      </c>
      <c r="E196" s="13">
        <v>0.3</v>
      </c>
      <c r="F196" s="12"/>
      <c r="G196" s="12" t="s">
        <v>282</v>
      </c>
      <c r="H196" s="12" t="s">
        <v>281</v>
      </c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1">
        <v>2.5</v>
      </c>
      <c r="U196" s="11" t="s">
        <v>68</v>
      </c>
      <c r="V196" s="10">
        <f t="shared" si="15"/>
        <v>47</v>
      </c>
      <c r="W196" s="10"/>
      <c r="X196" s="10"/>
      <c r="Y196" s="10"/>
      <c r="Z196" s="10"/>
      <c r="AA196" s="10">
        <f>18+29</f>
        <v>47</v>
      </c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</row>
    <row r="197" spans="1:54" s="1" customFormat="1" ht="16.5" customHeight="1" x14ac:dyDescent="0.3">
      <c r="A197" s="95"/>
      <c r="B197" s="15" t="s">
        <v>17</v>
      </c>
      <c r="C197" s="15">
        <v>79</v>
      </c>
      <c r="D197" s="10" t="s">
        <v>280</v>
      </c>
      <c r="E197" s="13">
        <v>0.3</v>
      </c>
      <c r="F197" s="12"/>
      <c r="G197" s="12" t="s">
        <v>279</v>
      </c>
      <c r="H197" s="12" t="s">
        <v>278</v>
      </c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1">
        <v>2.5</v>
      </c>
      <c r="U197" s="11">
        <v>4</v>
      </c>
      <c r="V197" s="10">
        <f t="shared" si="15"/>
        <v>48</v>
      </c>
      <c r="W197" s="10"/>
      <c r="X197" s="10"/>
      <c r="Y197" s="10"/>
      <c r="Z197" s="10"/>
      <c r="AA197" s="10">
        <f>24+24</f>
        <v>48</v>
      </c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</row>
    <row r="198" spans="1:54" s="1" customFormat="1" ht="16.5" customHeight="1" x14ac:dyDescent="0.3">
      <c r="A198" s="95"/>
      <c r="B198" s="15" t="s">
        <v>17</v>
      </c>
      <c r="C198" s="15">
        <v>80</v>
      </c>
      <c r="D198" s="10" t="s">
        <v>277</v>
      </c>
      <c r="E198" s="13">
        <v>0.3</v>
      </c>
      <c r="F198" s="12"/>
      <c r="G198" s="12" t="s">
        <v>276</v>
      </c>
      <c r="H198" s="12" t="s">
        <v>275</v>
      </c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1">
        <v>2</v>
      </c>
      <c r="U198" s="11">
        <v>3</v>
      </c>
      <c r="V198" s="10">
        <f t="shared" si="15"/>
        <v>59</v>
      </c>
      <c r="W198" s="10"/>
      <c r="X198" s="10">
        <f>32+27</f>
        <v>59</v>
      </c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</row>
    <row r="199" spans="1:54" s="1" customFormat="1" ht="16.5" customHeight="1" x14ac:dyDescent="0.3">
      <c r="A199" s="95"/>
      <c r="B199" s="15" t="s">
        <v>17</v>
      </c>
      <c r="C199" s="15">
        <v>81</v>
      </c>
      <c r="D199" s="10" t="s">
        <v>274</v>
      </c>
      <c r="E199" s="13">
        <v>1.5</v>
      </c>
      <c r="F199" s="12"/>
      <c r="G199" s="12" t="s">
        <v>273</v>
      </c>
      <c r="H199" s="12" t="s">
        <v>272</v>
      </c>
      <c r="I199" s="12"/>
      <c r="J199" s="12"/>
      <c r="K199" s="12"/>
      <c r="L199" s="12"/>
      <c r="M199" s="12"/>
      <c r="N199" s="12" t="s">
        <v>51</v>
      </c>
      <c r="O199" s="12"/>
      <c r="P199" s="12"/>
      <c r="Q199" s="12"/>
      <c r="R199" s="12"/>
      <c r="S199" s="12"/>
      <c r="T199" s="11">
        <v>2.5</v>
      </c>
      <c r="U199" s="11">
        <v>2.5</v>
      </c>
      <c r="V199" s="10">
        <f t="shared" si="15"/>
        <v>315</v>
      </c>
      <c r="W199" s="10"/>
      <c r="X199" s="10"/>
      <c r="Y199" s="10"/>
      <c r="Z199" s="10"/>
      <c r="AA199" s="10">
        <f>154+161</f>
        <v>315</v>
      </c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</row>
    <row r="200" spans="1:54" s="1" customFormat="1" ht="16.5" customHeight="1" x14ac:dyDescent="0.3">
      <c r="A200" s="95"/>
      <c r="B200" s="15" t="s">
        <v>17</v>
      </c>
      <c r="C200" s="15">
        <v>82</v>
      </c>
      <c r="D200" s="10" t="s">
        <v>271</v>
      </c>
      <c r="E200" s="13">
        <v>0.3</v>
      </c>
      <c r="F200" s="12"/>
      <c r="G200" s="12" t="s">
        <v>270</v>
      </c>
      <c r="H200" s="12" t="s">
        <v>269</v>
      </c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1">
        <v>2.5</v>
      </c>
      <c r="U200" s="11">
        <v>2.5</v>
      </c>
      <c r="V200" s="10">
        <f t="shared" si="15"/>
        <v>14</v>
      </c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>
        <v>14</v>
      </c>
      <c r="AH200" s="10"/>
      <c r="AI200" s="10"/>
      <c r="AJ200" s="10"/>
      <c r="AK200" s="10"/>
      <c r="AL200" s="10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</row>
    <row r="201" spans="1:54" s="1" customFormat="1" ht="16.5" customHeight="1" x14ac:dyDescent="0.3">
      <c r="A201" s="95"/>
      <c r="B201" s="15" t="s">
        <v>17</v>
      </c>
      <c r="C201" s="15">
        <v>83</v>
      </c>
      <c r="D201" s="10" t="s">
        <v>268</v>
      </c>
      <c r="E201" s="13">
        <v>0.7</v>
      </c>
      <c r="F201" s="12"/>
      <c r="G201" s="12" t="s">
        <v>267</v>
      </c>
      <c r="H201" s="12" t="s">
        <v>266</v>
      </c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1">
        <v>2.5</v>
      </c>
      <c r="U201" s="11">
        <v>2.5</v>
      </c>
      <c r="V201" s="10">
        <f t="shared" si="15"/>
        <v>58</v>
      </c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>
        <v>58</v>
      </c>
      <c r="AH201" s="10"/>
      <c r="AI201" s="10"/>
      <c r="AJ201" s="10"/>
      <c r="AK201" s="10"/>
      <c r="AL201" s="10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</row>
    <row r="202" spans="1:54" s="1" customFormat="1" ht="16.5" customHeight="1" x14ac:dyDescent="0.3">
      <c r="A202" s="95"/>
      <c r="B202" s="15" t="s">
        <v>17</v>
      </c>
      <c r="C202" s="15">
        <v>84</v>
      </c>
      <c r="D202" s="10" t="s">
        <v>265</v>
      </c>
      <c r="E202" s="13">
        <v>1.6</v>
      </c>
      <c r="F202" s="12"/>
      <c r="G202" s="12" t="s">
        <v>264</v>
      </c>
      <c r="H202" s="12" t="s">
        <v>263</v>
      </c>
      <c r="I202" s="12"/>
      <c r="J202" s="12"/>
      <c r="K202" s="12"/>
      <c r="L202" s="12"/>
      <c r="M202" s="12"/>
      <c r="N202" s="12" t="s">
        <v>51</v>
      </c>
      <c r="O202" s="12"/>
      <c r="P202" s="12"/>
      <c r="Q202" s="12"/>
      <c r="R202" s="12"/>
      <c r="S202" s="12"/>
      <c r="T202" s="11">
        <v>3</v>
      </c>
      <c r="U202" s="11">
        <v>3</v>
      </c>
      <c r="V202" s="10">
        <f t="shared" si="15"/>
        <v>247</v>
      </c>
      <c r="W202" s="10"/>
      <c r="X202" s="10"/>
      <c r="Y202" s="10"/>
      <c r="Z202" s="10"/>
      <c r="AA202" s="10">
        <f>123+124</f>
        <v>247</v>
      </c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</row>
    <row r="203" spans="1:54" s="1" customFormat="1" ht="16.5" customHeight="1" x14ac:dyDescent="0.3">
      <c r="A203" s="95"/>
      <c r="B203" s="15" t="s">
        <v>17</v>
      </c>
      <c r="C203" s="15">
        <v>85</v>
      </c>
      <c r="D203" s="10" t="s">
        <v>262</v>
      </c>
      <c r="E203" s="13">
        <v>0.2</v>
      </c>
      <c r="F203" s="12"/>
      <c r="G203" s="12" t="s">
        <v>261</v>
      </c>
      <c r="H203" s="12" t="s">
        <v>260</v>
      </c>
      <c r="I203" s="12"/>
      <c r="J203" s="12"/>
      <c r="K203" s="12"/>
      <c r="L203" s="12"/>
      <c r="M203" s="12"/>
      <c r="N203" s="12" t="s">
        <v>51</v>
      </c>
      <c r="O203" s="12"/>
      <c r="P203" s="12"/>
      <c r="Q203" s="12"/>
      <c r="R203" s="12"/>
      <c r="S203" s="12"/>
      <c r="T203" s="11">
        <v>2</v>
      </c>
      <c r="U203" s="11">
        <v>3</v>
      </c>
      <c r="V203" s="10">
        <f t="shared" si="15"/>
        <v>37</v>
      </c>
      <c r="W203" s="10"/>
      <c r="X203" s="10"/>
      <c r="Y203" s="10"/>
      <c r="Z203" s="10"/>
      <c r="AA203" s="10">
        <f>20+17</f>
        <v>37</v>
      </c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</row>
    <row r="204" spans="1:54" s="1" customFormat="1" ht="16.5" customHeight="1" x14ac:dyDescent="0.3">
      <c r="A204" s="95"/>
      <c r="B204" s="15" t="s">
        <v>17</v>
      </c>
      <c r="C204" s="15">
        <v>86</v>
      </c>
      <c r="D204" s="10" t="s">
        <v>259</v>
      </c>
      <c r="E204" s="13">
        <v>0.2</v>
      </c>
      <c r="F204" s="12"/>
      <c r="G204" s="12" t="s">
        <v>258</v>
      </c>
      <c r="H204" s="12" t="s">
        <v>257</v>
      </c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1">
        <v>3</v>
      </c>
      <c r="U204" s="11">
        <v>3</v>
      </c>
      <c r="V204" s="10">
        <f t="shared" si="15"/>
        <v>39</v>
      </c>
      <c r="W204" s="10"/>
      <c r="X204" s="10"/>
      <c r="Y204" s="10"/>
      <c r="Z204" s="10"/>
      <c r="AA204" s="10">
        <v>39</v>
      </c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</row>
    <row r="205" spans="1:54" s="1" customFormat="1" ht="16.5" customHeight="1" x14ac:dyDescent="0.3">
      <c r="A205" s="95"/>
      <c r="B205" s="15" t="s">
        <v>17</v>
      </c>
      <c r="C205" s="15">
        <v>87</v>
      </c>
      <c r="D205" s="10" t="s">
        <v>256</v>
      </c>
      <c r="E205" s="13">
        <v>0.8</v>
      </c>
      <c r="F205" s="12"/>
      <c r="G205" s="12" t="s">
        <v>255</v>
      </c>
      <c r="H205" s="12" t="s">
        <v>254</v>
      </c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1">
        <v>3</v>
      </c>
      <c r="U205" s="11">
        <v>3</v>
      </c>
      <c r="V205" s="10">
        <f t="shared" si="15"/>
        <v>120</v>
      </c>
      <c r="W205" s="10"/>
      <c r="X205" s="10">
        <v>37</v>
      </c>
      <c r="Y205" s="10"/>
      <c r="Z205" s="10"/>
      <c r="AA205" s="10">
        <v>83</v>
      </c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</row>
    <row r="206" spans="1:54" s="1" customFormat="1" ht="16.5" customHeight="1" x14ac:dyDescent="0.3">
      <c r="A206" s="95"/>
      <c r="B206" s="15" t="s">
        <v>17</v>
      </c>
      <c r="C206" s="15">
        <v>88</v>
      </c>
      <c r="D206" s="10" t="s">
        <v>253</v>
      </c>
      <c r="E206" s="13">
        <v>0.2</v>
      </c>
      <c r="F206" s="12"/>
      <c r="G206" s="12" t="s">
        <v>252</v>
      </c>
      <c r="H206" s="12" t="s">
        <v>251</v>
      </c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1">
        <v>3</v>
      </c>
      <c r="U206" s="11">
        <v>3</v>
      </c>
      <c r="V206" s="10">
        <f t="shared" si="15"/>
        <v>47</v>
      </c>
      <c r="W206" s="10"/>
      <c r="X206" s="10"/>
      <c r="Y206" s="10"/>
      <c r="Z206" s="10"/>
      <c r="AA206" s="10">
        <f>23+24</f>
        <v>47</v>
      </c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</row>
    <row r="207" spans="1:54" s="1" customFormat="1" ht="27.95" customHeight="1" x14ac:dyDescent="0.3">
      <c r="A207" s="95"/>
      <c r="B207" s="15" t="s">
        <v>17</v>
      </c>
      <c r="C207" s="15">
        <v>89</v>
      </c>
      <c r="D207" s="10" t="s">
        <v>250</v>
      </c>
      <c r="E207" s="13">
        <v>0.6</v>
      </c>
      <c r="F207" s="12"/>
      <c r="G207" s="12" t="s">
        <v>249</v>
      </c>
      <c r="H207" s="12" t="s">
        <v>248</v>
      </c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1">
        <v>3</v>
      </c>
      <c r="U207" s="11">
        <v>3</v>
      </c>
      <c r="V207" s="10">
        <f t="shared" si="15"/>
        <v>174</v>
      </c>
      <c r="W207" s="10"/>
      <c r="X207" s="10"/>
      <c r="Y207" s="10"/>
      <c r="Z207" s="10"/>
      <c r="AA207" s="10">
        <f>46+50+38+40</f>
        <v>174</v>
      </c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</row>
    <row r="208" spans="1:54" s="1" customFormat="1" ht="16.5" customHeight="1" x14ac:dyDescent="0.3">
      <c r="A208" s="95"/>
      <c r="B208" s="15" t="s">
        <v>17</v>
      </c>
      <c r="C208" s="15">
        <v>90</v>
      </c>
      <c r="D208" s="10" t="s">
        <v>247</v>
      </c>
      <c r="E208" s="13">
        <v>0.5</v>
      </c>
      <c r="F208" s="12"/>
      <c r="G208" s="12" t="s">
        <v>246</v>
      </c>
      <c r="H208" s="12" t="s">
        <v>245</v>
      </c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1">
        <v>3</v>
      </c>
      <c r="U208" s="11">
        <v>3</v>
      </c>
      <c r="V208" s="10">
        <f t="shared" si="15"/>
        <v>82</v>
      </c>
      <c r="W208" s="10">
        <f>[2]은행나무!G76</f>
        <v>27</v>
      </c>
      <c r="X208" s="10"/>
      <c r="Y208" s="10"/>
      <c r="Z208" s="10"/>
      <c r="AA208" s="17">
        <v>51</v>
      </c>
      <c r="AB208" s="17"/>
      <c r="AC208" s="17">
        <v>4</v>
      </c>
      <c r="AD208" s="10"/>
      <c r="AE208" s="10"/>
      <c r="AF208" s="10"/>
      <c r="AG208" s="10"/>
      <c r="AH208" s="10"/>
      <c r="AI208" s="10"/>
      <c r="AJ208" s="10"/>
      <c r="AK208" s="10"/>
      <c r="AL208" s="10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</row>
    <row r="209" spans="1:54" s="1" customFormat="1" ht="16.5" customHeight="1" x14ac:dyDescent="0.3">
      <c r="A209" s="95"/>
      <c r="B209" s="15" t="s">
        <v>17</v>
      </c>
      <c r="C209" s="15">
        <v>91</v>
      </c>
      <c r="D209" s="20" t="s">
        <v>244</v>
      </c>
      <c r="E209" s="13">
        <v>1.5</v>
      </c>
      <c r="F209" s="12"/>
      <c r="G209" s="12" t="s">
        <v>243</v>
      </c>
      <c r="H209" s="12" t="s">
        <v>242</v>
      </c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1">
        <v>3</v>
      </c>
      <c r="U209" s="11">
        <v>3</v>
      </c>
      <c r="V209" s="10">
        <f t="shared" si="15"/>
        <v>302</v>
      </c>
      <c r="W209" s="10">
        <f>[2]은행나무!G77</f>
        <v>9</v>
      </c>
      <c r="X209" s="10"/>
      <c r="Y209" s="10"/>
      <c r="Z209" s="10"/>
      <c r="AA209" s="10">
        <v>160</v>
      </c>
      <c r="AB209" s="10">
        <v>133</v>
      </c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</row>
    <row r="210" spans="1:54" s="1" customFormat="1" ht="16.5" customHeight="1" x14ac:dyDescent="0.3">
      <c r="A210" s="95"/>
      <c r="B210" s="15" t="s">
        <v>17</v>
      </c>
      <c r="C210" s="15">
        <v>92</v>
      </c>
      <c r="D210" s="20" t="s">
        <v>241</v>
      </c>
      <c r="E210" s="13">
        <v>1.5</v>
      </c>
      <c r="F210" s="12"/>
      <c r="G210" s="12" t="s">
        <v>240</v>
      </c>
      <c r="H210" s="12" t="s">
        <v>239</v>
      </c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1">
        <v>3</v>
      </c>
      <c r="U210" s="11">
        <v>3</v>
      </c>
      <c r="V210" s="10">
        <f t="shared" si="15"/>
        <v>297</v>
      </c>
      <c r="W210" s="10"/>
      <c r="X210" s="10"/>
      <c r="Y210" s="10"/>
      <c r="Z210" s="10"/>
      <c r="AA210" s="10">
        <f>10+13+147</f>
        <v>170</v>
      </c>
      <c r="AB210" s="10">
        <v>127</v>
      </c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</row>
    <row r="211" spans="1:54" s="1" customFormat="1" ht="16.5" customHeight="1" x14ac:dyDescent="0.3">
      <c r="A211" s="95"/>
      <c r="B211" s="15" t="s">
        <v>17</v>
      </c>
      <c r="C211" s="15">
        <v>93</v>
      </c>
      <c r="D211" s="10" t="s">
        <v>238</v>
      </c>
      <c r="E211" s="13">
        <v>0.4</v>
      </c>
      <c r="F211" s="12"/>
      <c r="G211" s="12" t="s">
        <v>237</v>
      </c>
      <c r="H211" s="12" t="s">
        <v>236</v>
      </c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1">
        <v>3</v>
      </c>
      <c r="U211" s="11">
        <v>3</v>
      </c>
      <c r="V211" s="10">
        <f t="shared" si="15"/>
        <v>87</v>
      </c>
      <c r="W211" s="10"/>
      <c r="X211" s="10"/>
      <c r="Y211" s="10"/>
      <c r="Z211" s="10"/>
      <c r="AA211" s="17">
        <v>84</v>
      </c>
      <c r="AB211" s="17"/>
      <c r="AC211" s="17">
        <v>3</v>
      </c>
      <c r="AD211" s="10"/>
      <c r="AE211" s="10"/>
      <c r="AF211" s="10"/>
      <c r="AG211" s="10"/>
      <c r="AH211" s="10"/>
      <c r="AI211" s="10"/>
      <c r="AJ211" s="10"/>
      <c r="AK211" s="10"/>
      <c r="AL211" s="10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</row>
    <row r="212" spans="1:54" s="1" customFormat="1" ht="16.5" customHeight="1" x14ac:dyDescent="0.3">
      <c r="A212" s="95"/>
      <c r="B212" s="15" t="s">
        <v>17</v>
      </c>
      <c r="C212" s="15">
        <v>94</v>
      </c>
      <c r="D212" s="10" t="s">
        <v>235</v>
      </c>
      <c r="E212" s="13">
        <v>0.4</v>
      </c>
      <c r="F212" s="12"/>
      <c r="G212" s="12" t="s">
        <v>234</v>
      </c>
      <c r="H212" s="12" t="s">
        <v>233</v>
      </c>
      <c r="I212" s="12"/>
      <c r="J212" s="12"/>
      <c r="K212" s="12"/>
      <c r="L212" s="12"/>
      <c r="M212" s="12"/>
      <c r="N212" s="12" t="s">
        <v>51</v>
      </c>
      <c r="O212" s="12"/>
      <c r="P212" s="12"/>
      <c r="Q212" s="12"/>
      <c r="R212" s="12"/>
      <c r="S212" s="12"/>
      <c r="T212" s="11">
        <v>3</v>
      </c>
      <c r="U212" s="11">
        <v>3</v>
      </c>
      <c r="V212" s="10">
        <f t="shared" si="15"/>
        <v>97</v>
      </c>
      <c r="W212" s="10"/>
      <c r="X212" s="10"/>
      <c r="Y212" s="10"/>
      <c r="Z212" s="10"/>
      <c r="AA212" s="10">
        <f>46+51</f>
        <v>97</v>
      </c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</row>
    <row r="213" spans="1:54" s="1" customFormat="1" ht="16.5" customHeight="1" x14ac:dyDescent="0.3">
      <c r="A213" s="95"/>
      <c r="B213" s="15" t="s">
        <v>17</v>
      </c>
      <c r="C213" s="15">
        <v>95</v>
      </c>
      <c r="D213" s="10" t="s">
        <v>232</v>
      </c>
      <c r="E213" s="13">
        <v>0.5</v>
      </c>
      <c r="F213" s="12"/>
      <c r="G213" s="12" t="s">
        <v>231</v>
      </c>
      <c r="H213" s="12" t="s">
        <v>230</v>
      </c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 t="s">
        <v>51</v>
      </c>
      <c r="T213" s="11">
        <v>3</v>
      </c>
      <c r="U213" s="11">
        <v>3</v>
      </c>
      <c r="V213" s="10">
        <f t="shared" si="15"/>
        <v>99</v>
      </c>
      <c r="W213" s="10">
        <f>[2]은행나무!G78</f>
        <v>99</v>
      </c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</row>
    <row r="214" spans="1:54" s="1" customFormat="1" ht="16.5" customHeight="1" x14ac:dyDescent="0.3">
      <c r="A214" s="95"/>
      <c r="B214" s="15" t="s">
        <v>17</v>
      </c>
      <c r="C214" s="15">
        <v>96</v>
      </c>
      <c r="D214" s="10" t="s">
        <v>229</v>
      </c>
      <c r="E214" s="13">
        <v>0.7</v>
      </c>
      <c r="F214" s="12"/>
      <c r="G214" s="12" t="s">
        <v>228</v>
      </c>
      <c r="H214" s="12" t="s">
        <v>227</v>
      </c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 t="s">
        <v>51</v>
      </c>
      <c r="T214" s="11">
        <v>3</v>
      </c>
      <c r="U214" s="11">
        <v>3</v>
      </c>
      <c r="V214" s="10">
        <f t="shared" si="15"/>
        <v>125</v>
      </c>
      <c r="W214" s="10">
        <f>[2]은행나무!G79</f>
        <v>125</v>
      </c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</row>
    <row r="215" spans="1:54" s="1" customFormat="1" ht="27.95" customHeight="1" x14ac:dyDescent="0.3">
      <c r="A215" s="95"/>
      <c r="B215" s="15" t="s">
        <v>17</v>
      </c>
      <c r="C215" s="15">
        <v>97</v>
      </c>
      <c r="D215" s="20" t="s">
        <v>226</v>
      </c>
      <c r="E215" s="13" t="s">
        <v>225</v>
      </c>
      <c r="F215" s="13" t="s">
        <v>224</v>
      </c>
      <c r="G215" s="13" t="s">
        <v>223</v>
      </c>
      <c r="H215" s="13" t="s">
        <v>222</v>
      </c>
      <c r="I215" s="13"/>
      <c r="J215" s="13"/>
      <c r="K215" s="12"/>
      <c r="L215" s="12"/>
      <c r="M215" s="12"/>
      <c r="N215" s="13" t="s">
        <v>51</v>
      </c>
      <c r="O215" s="13"/>
      <c r="P215" s="13"/>
      <c r="Q215" s="13" t="s">
        <v>70</v>
      </c>
      <c r="R215" s="11" t="s">
        <v>221</v>
      </c>
      <c r="S215" s="13"/>
      <c r="T215" s="18" t="s">
        <v>220</v>
      </c>
      <c r="U215" s="18" t="s">
        <v>219</v>
      </c>
      <c r="V215" s="10">
        <f t="shared" ref="V215:V246" si="16">SUM(W215:AJ215)</f>
        <v>457</v>
      </c>
      <c r="W215" s="10">
        <f>[2]은행나무!G80</f>
        <v>6</v>
      </c>
      <c r="X215" s="10"/>
      <c r="Y215" s="10"/>
      <c r="Z215" s="10"/>
      <c r="AA215" s="10">
        <f>26+153+47+219</f>
        <v>445</v>
      </c>
      <c r="AB215" s="10">
        <v>6</v>
      </c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</row>
    <row r="216" spans="1:54" s="1" customFormat="1" ht="16.5" customHeight="1" x14ac:dyDescent="0.3">
      <c r="A216" s="95"/>
      <c r="B216" s="15" t="s">
        <v>17</v>
      </c>
      <c r="C216" s="15">
        <v>98</v>
      </c>
      <c r="D216" s="10" t="s">
        <v>218</v>
      </c>
      <c r="E216" s="13">
        <v>0.9</v>
      </c>
      <c r="F216" s="12"/>
      <c r="G216" s="12" t="s">
        <v>217</v>
      </c>
      <c r="H216" s="12" t="s">
        <v>216</v>
      </c>
      <c r="I216" s="12"/>
      <c r="J216" s="12"/>
      <c r="K216" s="12" t="s">
        <v>51</v>
      </c>
      <c r="L216" s="12" t="s">
        <v>215</v>
      </c>
      <c r="M216" s="12" t="s">
        <v>214</v>
      </c>
      <c r="N216" s="12"/>
      <c r="O216" s="12"/>
      <c r="P216" s="12"/>
      <c r="Q216" s="12"/>
      <c r="R216" s="12"/>
      <c r="S216" s="12"/>
      <c r="T216" s="11" t="s">
        <v>213</v>
      </c>
      <c r="U216" s="11" t="s">
        <v>213</v>
      </c>
      <c r="V216" s="10">
        <f t="shared" si="16"/>
        <v>256</v>
      </c>
      <c r="W216" s="10"/>
      <c r="X216" s="10"/>
      <c r="Y216" s="10"/>
      <c r="Z216" s="10"/>
      <c r="AA216" s="10">
        <v>23</v>
      </c>
      <c r="AB216" s="10">
        <v>100</v>
      </c>
      <c r="AC216" s="10"/>
      <c r="AD216" s="10"/>
      <c r="AE216" s="10"/>
      <c r="AF216" s="10"/>
      <c r="AG216" s="10"/>
      <c r="AH216" s="10">
        <v>133</v>
      </c>
      <c r="AI216" s="10"/>
      <c r="AJ216" s="10"/>
      <c r="AK216" s="10"/>
      <c r="AL216" s="10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</row>
    <row r="217" spans="1:54" s="1" customFormat="1" ht="16.5" customHeight="1" x14ac:dyDescent="0.3">
      <c r="A217" s="95"/>
      <c r="B217" s="15" t="s">
        <v>17</v>
      </c>
      <c r="C217" s="15">
        <v>99</v>
      </c>
      <c r="D217" s="10" t="s">
        <v>212</v>
      </c>
      <c r="E217" s="13">
        <v>0.2</v>
      </c>
      <c r="F217" s="12"/>
      <c r="G217" s="12" t="s">
        <v>211</v>
      </c>
      <c r="H217" s="12" t="s">
        <v>210</v>
      </c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1" t="s">
        <v>55</v>
      </c>
      <c r="U217" s="11" t="s">
        <v>55</v>
      </c>
      <c r="V217" s="10">
        <f t="shared" si="16"/>
        <v>23</v>
      </c>
      <c r="W217" s="10"/>
      <c r="X217" s="10">
        <f>12+11</f>
        <v>23</v>
      </c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</row>
    <row r="218" spans="1:54" s="1" customFormat="1" ht="16.5" customHeight="1" x14ac:dyDescent="0.3">
      <c r="A218" s="95"/>
      <c r="B218" s="15" t="s">
        <v>17</v>
      </c>
      <c r="C218" s="15">
        <v>100</v>
      </c>
      <c r="D218" s="10" t="s">
        <v>209</v>
      </c>
      <c r="E218" s="13">
        <v>0.3</v>
      </c>
      <c r="F218" s="12"/>
      <c r="G218" s="12" t="s">
        <v>208</v>
      </c>
      <c r="H218" s="12" t="s">
        <v>207</v>
      </c>
      <c r="I218" s="12"/>
      <c r="J218" s="12"/>
      <c r="K218" s="12"/>
      <c r="L218" s="12"/>
      <c r="M218" s="12"/>
      <c r="N218" s="12" t="s">
        <v>51</v>
      </c>
      <c r="O218" s="12"/>
      <c r="P218" s="12"/>
      <c r="Q218" s="12"/>
      <c r="R218" s="12"/>
      <c r="S218" s="12"/>
      <c r="T218" s="11">
        <v>2.5</v>
      </c>
      <c r="U218" s="11">
        <v>2.5</v>
      </c>
      <c r="V218" s="10">
        <f t="shared" si="16"/>
        <v>69</v>
      </c>
      <c r="W218" s="10"/>
      <c r="X218" s="10"/>
      <c r="Y218" s="10"/>
      <c r="Z218" s="10"/>
      <c r="AA218" s="10">
        <f>36+33</f>
        <v>69</v>
      </c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</row>
    <row r="219" spans="1:54" s="1" customFormat="1" ht="16.5" customHeight="1" x14ac:dyDescent="0.3">
      <c r="A219" s="95"/>
      <c r="B219" s="15" t="s">
        <v>17</v>
      </c>
      <c r="C219" s="15">
        <v>101</v>
      </c>
      <c r="D219" s="10" t="s">
        <v>206</v>
      </c>
      <c r="E219" s="13">
        <v>0.7</v>
      </c>
      <c r="F219" s="12"/>
      <c r="G219" s="12" t="s">
        <v>205</v>
      </c>
      <c r="H219" s="12" t="s">
        <v>204</v>
      </c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 t="s">
        <v>51</v>
      </c>
      <c r="T219" s="11" t="s">
        <v>55</v>
      </c>
      <c r="U219" s="11" t="s">
        <v>55</v>
      </c>
      <c r="V219" s="10">
        <f t="shared" si="16"/>
        <v>142</v>
      </c>
      <c r="W219" s="10">
        <f>[2]은행나무!G81</f>
        <v>142</v>
      </c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</row>
    <row r="220" spans="1:54" s="1" customFormat="1" ht="16.5" customHeight="1" x14ac:dyDescent="0.3">
      <c r="A220" s="95"/>
      <c r="B220" s="15" t="s">
        <v>17</v>
      </c>
      <c r="C220" s="15">
        <v>102</v>
      </c>
      <c r="D220" s="10" t="s">
        <v>203</v>
      </c>
      <c r="E220" s="13">
        <v>2.6</v>
      </c>
      <c r="F220" s="12"/>
      <c r="G220" s="12" t="s">
        <v>202</v>
      </c>
      <c r="H220" s="12" t="s">
        <v>201</v>
      </c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1">
        <v>2</v>
      </c>
      <c r="U220" s="11">
        <v>2</v>
      </c>
      <c r="V220" s="10">
        <f t="shared" si="16"/>
        <v>442</v>
      </c>
      <c r="W220" s="10"/>
      <c r="X220" s="10">
        <v>1</v>
      </c>
      <c r="Y220" s="10"/>
      <c r="Z220" s="10"/>
      <c r="AA220" s="10">
        <f>271+170</f>
        <v>441</v>
      </c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</row>
    <row r="221" spans="1:54" s="1" customFormat="1" ht="16.5" customHeight="1" x14ac:dyDescent="0.3">
      <c r="A221" s="95"/>
      <c r="B221" s="15" t="s">
        <v>17</v>
      </c>
      <c r="C221" s="15">
        <v>103</v>
      </c>
      <c r="D221" s="10" t="s">
        <v>200</v>
      </c>
      <c r="E221" s="13">
        <v>0.3</v>
      </c>
      <c r="F221" s="12"/>
      <c r="G221" s="12" t="s">
        <v>199</v>
      </c>
      <c r="H221" s="12" t="s">
        <v>198</v>
      </c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1">
        <v>2.5</v>
      </c>
      <c r="U221" s="11">
        <v>2.5</v>
      </c>
      <c r="V221" s="10">
        <f t="shared" si="16"/>
        <v>67</v>
      </c>
      <c r="W221" s="10"/>
      <c r="X221" s="10"/>
      <c r="Y221" s="10"/>
      <c r="Z221" s="10"/>
      <c r="AA221" s="10">
        <f>33+34</f>
        <v>67</v>
      </c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</row>
    <row r="222" spans="1:54" s="1" customFormat="1" ht="16.5" customHeight="1" x14ac:dyDescent="0.3">
      <c r="A222" s="95"/>
      <c r="B222" s="15" t="s">
        <v>17</v>
      </c>
      <c r="C222" s="15">
        <v>104</v>
      </c>
      <c r="D222" s="10" t="s">
        <v>197</v>
      </c>
      <c r="E222" s="13">
        <v>0.5</v>
      </c>
      <c r="F222" s="12"/>
      <c r="G222" s="12" t="s">
        <v>196</v>
      </c>
      <c r="H222" s="12" t="s">
        <v>195</v>
      </c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1">
        <v>2.5</v>
      </c>
      <c r="U222" s="11">
        <v>2.5</v>
      </c>
      <c r="V222" s="10">
        <f t="shared" si="16"/>
        <v>60</v>
      </c>
      <c r="W222" s="10"/>
      <c r="X222" s="10"/>
      <c r="Y222" s="10"/>
      <c r="Z222" s="10"/>
      <c r="AA222" s="17">
        <v>54</v>
      </c>
      <c r="AB222" s="17"/>
      <c r="AC222" s="17">
        <v>6</v>
      </c>
      <c r="AD222" s="10"/>
      <c r="AE222" s="10"/>
      <c r="AF222" s="10"/>
      <c r="AG222" s="10"/>
      <c r="AH222" s="10"/>
      <c r="AI222" s="10"/>
      <c r="AJ222" s="10"/>
      <c r="AK222" s="10"/>
      <c r="AL222" s="10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</row>
    <row r="223" spans="1:54" s="1" customFormat="1" ht="16.5" customHeight="1" x14ac:dyDescent="0.3">
      <c r="A223" s="95"/>
      <c r="B223" s="15" t="s">
        <v>17</v>
      </c>
      <c r="C223" s="15">
        <v>105</v>
      </c>
      <c r="D223" s="10" t="s">
        <v>194</v>
      </c>
      <c r="E223" s="13">
        <v>0.3</v>
      </c>
      <c r="F223" s="12"/>
      <c r="G223" s="12" t="s">
        <v>193</v>
      </c>
      <c r="H223" s="12" t="s">
        <v>192</v>
      </c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1">
        <v>2.5</v>
      </c>
      <c r="U223" s="11">
        <v>2.5</v>
      </c>
      <c r="V223" s="10">
        <f t="shared" si="16"/>
        <v>57</v>
      </c>
      <c r="W223" s="10"/>
      <c r="X223" s="10"/>
      <c r="Y223" s="10">
        <f>29+28</f>
        <v>57</v>
      </c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</row>
    <row r="224" spans="1:54" s="1" customFormat="1" ht="16.5" customHeight="1" x14ac:dyDescent="0.3">
      <c r="A224" s="95"/>
      <c r="B224" s="15" t="s">
        <v>17</v>
      </c>
      <c r="C224" s="15">
        <v>106</v>
      </c>
      <c r="D224" s="10" t="s">
        <v>191</v>
      </c>
      <c r="E224" s="13">
        <v>0.2</v>
      </c>
      <c r="F224" s="12"/>
      <c r="G224" s="12" t="s">
        <v>190</v>
      </c>
      <c r="H224" s="12" t="s">
        <v>189</v>
      </c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1">
        <v>3</v>
      </c>
      <c r="U224" s="11">
        <v>3</v>
      </c>
      <c r="V224" s="10">
        <f t="shared" si="16"/>
        <v>39</v>
      </c>
      <c r="W224" s="10"/>
      <c r="X224" s="10">
        <f>22+17</f>
        <v>39</v>
      </c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</row>
    <row r="225" spans="1:54" s="1" customFormat="1" ht="16.5" customHeight="1" x14ac:dyDescent="0.3">
      <c r="A225" s="95"/>
      <c r="B225" s="15" t="s">
        <v>17</v>
      </c>
      <c r="C225" s="15">
        <v>107</v>
      </c>
      <c r="D225" s="10" t="s">
        <v>188</v>
      </c>
      <c r="E225" s="13">
        <v>0.9</v>
      </c>
      <c r="F225" s="12"/>
      <c r="G225" s="12" t="s">
        <v>187</v>
      </c>
      <c r="H225" s="12" t="s">
        <v>186</v>
      </c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1">
        <v>2.5</v>
      </c>
      <c r="U225" s="11">
        <v>2.5</v>
      </c>
      <c r="V225" s="10">
        <f t="shared" si="16"/>
        <v>236</v>
      </c>
      <c r="W225" s="10">
        <f>[2]은행나무!G82</f>
        <v>72</v>
      </c>
      <c r="X225" s="10"/>
      <c r="Y225" s="10"/>
      <c r="Z225" s="10"/>
      <c r="AA225" s="10">
        <f>74+90</f>
        <v>164</v>
      </c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</row>
    <row r="226" spans="1:54" s="1" customFormat="1" ht="16.5" customHeight="1" x14ac:dyDescent="0.3">
      <c r="A226" s="95"/>
      <c r="B226" s="15" t="s">
        <v>17</v>
      </c>
      <c r="C226" s="15">
        <v>108</v>
      </c>
      <c r="D226" s="10" t="s">
        <v>185</v>
      </c>
      <c r="E226" s="13">
        <v>0.2</v>
      </c>
      <c r="F226" s="12"/>
      <c r="G226" s="12" t="s">
        <v>184</v>
      </c>
      <c r="H226" s="12" t="s">
        <v>183</v>
      </c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1">
        <v>2</v>
      </c>
      <c r="U226" s="11">
        <v>2</v>
      </c>
      <c r="V226" s="10">
        <f t="shared" si="16"/>
        <v>37</v>
      </c>
      <c r="W226" s="10"/>
      <c r="X226" s="10">
        <f>22+15</f>
        <v>37</v>
      </c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</row>
    <row r="227" spans="1:54" s="1" customFormat="1" ht="16.5" customHeight="1" x14ac:dyDescent="0.3">
      <c r="A227" s="95"/>
      <c r="B227" s="15" t="s">
        <v>17</v>
      </c>
      <c r="C227" s="15">
        <v>109</v>
      </c>
      <c r="D227" s="10" t="s">
        <v>182</v>
      </c>
      <c r="E227" s="13">
        <v>0.2</v>
      </c>
      <c r="F227" s="12"/>
      <c r="G227" s="12" t="s">
        <v>181</v>
      </c>
      <c r="H227" s="12" t="s">
        <v>180</v>
      </c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1">
        <v>3</v>
      </c>
      <c r="U227" s="11">
        <v>2.5</v>
      </c>
      <c r="V227" s="10">
        <f t="shared" si="16"/>
        <v>14</v>
      </c>
      <c r="W227" s="10"/>
      <c r="X227" s="10"/>
      <c r="Y227" s="10"/>
      <c r="Z227" s="10"/>
      <c r="AA227" s="10">
        <v>14</v>
      </c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</row>
    <row r="228" spans="1:54" s="1" customFormat="1" ht="16.5" customHeight="1" x14ac:dyDescent="0.3">
      <c r="A228" s="95"/>
      <c r="B228" s="15" t="s">
        <v>17</v>
      </c>
      <c r="C228" s="15">
        <v>110</v>
      </c>
      <c r="D228" s="10" t="s">
        <v>179</v>
      </c>
      <c r="E228" s="13">
        <v>0.2</v>
      </c>
      <c r="F228" s="12"/>
      <c r="G228" s="12" t="s">
        <v>178</v>
      </c>
      <c r="H228" s="12" t="s">
        <v>177</v>
      </c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1">
        <v>2.5</v>
      </c>
      <c r="U228" s="11">
        <v>2.5</v>
      </c>
      <c r="V228" s="10">
        <f t="shared" si="16"/>
        <v>33</v>
      </c>
      <c r="W228" s="10">
        <f>[2]은행나무!G83</f>
        <v>1</v>
      </c>
      <c r="X228" s="10"/>
      <c r="Y228" s="10"/>
      <c r="Z228" s="10"/>
      <c r="AA228" s="10">
        <f>14+18</f>
        <v>32</v>
      </c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</row>
    <row r="229" spans="1:54" s="1" customFormat="1" ht="16.5" customHeight="1" x14ac:dyDescent="0.3">
      <c r="A229" s="95"/>
      <c r="B229" s="15" t="s">
        <v>17</v>
      </c>
      <c r="C229" s="15">
        <v>111</v>
      </c>
      <c r="D229" s="10" t="s">
        <v>176</v>
      </c>
      <c r="E229" s="13">
        <v>1</v>
      </c>
      <c r="F229" s="12"/>
      <c r="G229" s="12" t="s">
        <v>175</v>
      </c>
      <c r="H229" s="12" t="s">
        <v>174</v>
      </c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1">
        <v>3.5</v>
      </c>
      <c r="U229" s="11">
        <v>3.5</v>
      </c>
      <c r="V229" s="10">
        <f t="shared" si="16"/>
        <v>163</v>
      </c>
      <c r="W229" s="10">
        <f>[2]은행나무!G84</f>
        <v>163</v>
      </c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</row>
    <row r="230" spans="1:54" s="1" customFormat="1" ht="16.5" customHeight="1" x14ac:dyDescent="0.3">
      <c r="A230" s="95"/>
      <c r="B230" s="15" t="s">
        <v>17</v>
      </c>
      <c r="C230" s="15">
        <v>112</v>
      </c>
      <c r="D230" s="10" t="s">
        <v>173</v>
      </c>
      <c r="E230" s="13">
        <v>0.3</v>
      </c>
      <c r="F230" s="12"/>
      <c r="G230" s="12" t="s">
        <v>172</v>
      </c>
      <c r="H230" s="12" t="s">
        <v>171</v>
      </c>
      <c r="I230" s="12"/>
      <c r="J230" s="12"/>
      <c r="K230" s="12"/>
      <c r="L230" s="12"/>
      <c r="M230" s="12"/>
      <c r="N230" s="12" t="s">
        <v>51</v>
      </c>
      <c r="O230" s="12"/>
      <c r="P230" s="12"/>
      <c r="Q230" s="12"/>
      <c r="R230" s="12"/>
      <c r="S230" s="12"/>
      <c r="T230" s="11">
        <v>2.5</v>
      </c>
      <c r="U230" s="11">
        <v>2.5</v>
      </c>
      <c r="V230" s="10">
        <f t="shared" si="16"/>
        <v>38</v>
      </c>
      <c r="W230" s="10"/>
      <c r="X230" s="10"/>
      <c r="Y230" s="10"/>
      <c r="Z230" s="10"/>
      <c r="AA230" s="10">
        <f>19+19</f>
        <v>38</v>
      </c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</row>
    <row r="231" spans="1:54" s="1" customFormat="1" ht="16.5" customHeight="1" x14ac:dyDescent="0.3">
      <c r="A231" s="95"/>
      <c r="B231" s="15" t="s">
        <v>17</v>
      </c>
      <c r="C231" s="15">
        <v>113</v>
      </c>
      <c r="D231" s="10" t="s">
        <v>170</v>
      </c>
      <c r="E231" s="13">
        <v>1.1000000000000001</v>
      </c>
      <c r="F231" s="12"/>
      <c r="G231" s="12" t="s">
        <v>169</v>
      </c>
      <c r="H231" s="12" t="s">
        <v>167</v>
      </c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1">
        <v>2.5</v>
      </c>
      <c r="U231" s="11">
        <v>2.5</v>
      </c>
      <c r="V231" s="10">
        <f t="shared" si="16"/>
        <v>191</v>
      </c>
      <c r="W231" s="10"/>
      <c r="X231" s="10"/>
      <c r="Y231" s="10"/>
      <c r="Z231" s="10"/>
      <c r="AA231" s="10"/>
      <c r="AB231" s="10"/>
      <c r="AC231" s="10"/>
      <c r="AD231" s="10">
        <f>101+90</f>
        <v>191</v>
      </c>
      <c r="AE231" s="10"/>
      <c r="AF231" s="10"/>
      <c r="AG231" s="10"/>
      <c r="AH231" s="10"/>
      <c r="AI231" s="10"/>
      <c r="AJ231" s="10"/>
      <c r="AK231" s="10"/>
      <c r="AL231" s="10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</row>
    <row r="232" spans="1:54" s="1" customFormat="1" ht="16.5" customHeight="1" x14ac:dyDescent="0.3">
      <c r="A232" s="95"/>
      <c r="B232" s="15" t="s">
        <v>17</v>
      </c>
      <c r="C232" s="15">
        <v>114</v>
      </c>
      <c r="D232" s="10" t="s">
        <v>168</v>
      </c>
      <c r="E232" s="13">
        <v>0.4</v>
      </c>
      <c r="F232" s="12"/>
      <c r="G232" s="12" t="s">
        <v>167</v>
      </c>
      <c r="H232" s="12" t="s">
        <v>166</v>
      </c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1">
        <v>2.5</v>
      </c>
      <c r="U232" s="11">
        <v>2.5</v>
      </c>
      <c r="V232" s="10">
        <f t="shared" si="16"/>
        <v>75</v>
      </c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>
        <f>52+23</f>
        <v>75</v>
      </c>
      <c r="AH232" s="10"/>
      <c r="AI232" s="10"/>
      <c r="AJ232" s="10"/>
      <c r="AK232" s="10"/>
      <c r="AL232" s="10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</row>
    <row r="233" spans="1:54" s="1" customFormat="1" ht="16.5" customHeight="1" x14ac:dyDescent="0.3">
      <c r="A233" s="95"/>
      <c r="B233" s="15" t="s">
        <v>17</v>
      </c>
      <c r="C233" s="15">
        <v>115</v>
      </c>
      <c r="D233" s="10" t="s">
        <v>165</v>
      </c>
      <c r="E233" s="13">
        <v>0.2</v>
      </c>
      <c r="F233" s="12"/>
      <c r="G233" s="12" t="s">
        <v>164</v>
      </c>
      <c r="H233" s="12" t="s">
        <v>163</v>
      </c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1">
        <v>3</v>
      </c>
      <c r="U233" s="11">
        <v>3</v>
      </c>
      <c r="V233" s="10">
        <f t="shared" si="16"/>
        <v>37</v>
      </c>
      <c r="W233" s="10"/>
      <c r="X233" s="10"/>
      <c r="Y233" s="10"/>
      <c r="Z233" s="10"/>
      <c r="AA233" s="10">
        <f>22+15</f>
        <v>37</v>
      </c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</row>
    <row r="234" spans="1:54" s="1" customFormat="1" ht="16.5" customHeight="1" x14ac:dyDescent="0.3">
      <c r="A234" s="95"/>
      <c r="B234" s="15" t="s">
        <v>17</v>
      </c>
      <c r="C234" s="15">
        <v>116</v>
      </c>
      <c r="D234" s="10" t="s">
        <v>162</v>
      </c>
      <c r="E234" s="13">
        <v>0.4</v>
      </c>
      <c r="F234" s="12"/>
      <c r="G234" s="12" t="s">
        <v>161</v>
      </c>
      <c r="H234" s="12" t="s">
        <v>160</v>
      </c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 t="s">
        <v>51</v>
      </c>
      <c r="T234" s="11">
        <v>3</v>
      </c>
      <c r="U234" s="11">
        <v>3</v>
      </c>
      <c r="V234" s="10">
        <f t="shared" si="16"/>
        <v>75</v>
      </c>
      <c r="W234" s="10">
        <f>[2]은행나무!G85</f>
        <v>75</v>
      </c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</row>
    <row r="235" spans="1:54" s="1" customFormat="1" ht="16.5" customHeight="1" x14ac:dyDescent="0.3">
      <c r="A235" s="95"/>
      <c r="B235" s="15" t="s">
        <v>17</v>
      </c>
      <c r="C235" s="15">
        <v>117</v>
      </c>
      <c r="D235" s="10" t="s">
        <v>159</v>
      </c>
      <c r="E235" s="13">
        <v>0.1</v>
      </c>
      <c r="F235" s="12"/>
      <c r="G235" s="12" t="s">
        <v>127</v>
      </c>
      <c r="H235" s="12" t="s">
        <v>158</v>
      </c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1">
        <v>3</v>
      </c>
      <c r="U235" s="11">
        <v>3</v>
      </c>
      <c r="V235" s="10">
        <f t="shared" si="16"/>
        <v>25</v>
      </c>
      <c r="W235" s="10"/>
      <c r="X235" s="10"/>
      <c r="Y235" s="10"/>
      <c r="Z235" s="10"/>
      <c r="AA235" s="10">
        <f>10+15</f>
        <v>25</v>
      </c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</row>
    <row r="236" spans="1:54" s="1" customFormat="1" ht="16.5" customHeight="1" x14ac:dyDescent="0.3">
      <c r="A236" s="95"/>
      <c r="B236" s="15" t="s">
        <v>17</v>
      </c>
      <c r="C236" s="15">
        <v>118</v>
      </c>
      <c r="D236" s="10" t="s">
        <v>157</v>
      </c>
      <c r="E236" s="13">
        <v>0.2</v>
      </c>
      <c r="F236" s="12"/>
      <c r="G236" s="12" t="s">
        <v>156</v>
      </c>
      <c r="H236" s="12" t="s">
        <v>155</v>
      </c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1">
        <v>2.5</v>
      </c>
      <c r="U236" s="11">
        <v>2.5</v>
      </c>
      <c r="V236" s="10">
        <f t="shared" si="16"/>
        <v>38</v>
      </c>
      <c r="W236" s="10"/>
      <c r="X236" s="10"/>
      <c r="Y236" s="10"/>
      <c r="Z236" s="10"/>
      <c r="AA236" s="10"/>
      <c r="AB236" s="10"/>
      <c r="AC236" s="10">
        <f>14+24</f>
        <v>38</v>
      </c>
      <c r="AD236" s="10"/>
      <c r="AE236" s="10"/>
      <c r="AF236" s="10"/>
      <c r="AG236" s="10"/>
      <c r="AH236" s="10"/>
      <c r="AI236" s="10"/>
      <c r="AJ236" s="10"/>
      <c r="AK236" s="10"/>
      <c r="AL236" s="10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</row>
    <row r="237" spans="1:54" s="1" customFormat="1" ht="16.5" customHeight="1" x14ac:dyDescent="0.3">
      <c r="A237" s="95"/>
      <c r="B237" s="15" t="s">
        <v>17</v>
      </c>
      <c r="C237" s="15">
        <v>119</v>
      </c>
      <c r="D237" s="10" t="s">
        <v>154</v>
      </c>
      <c r="E237" s="18">
        <v>0.2</v>
      </c>
      <c r="F237" s="11"/>
      <c r="G237" s="11" t="s">
        <v>153</v>
      </c>
      <c r="H237" s="11" t="s">
        <v>152</v>
      </c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 t="s">
        <v>51</v>
      </c>
      <c r="T237" s="11" t="s">
        <v>90</v>
      </c>
      <c r="U237" s="11" t="s">
        <v>133</v>
      </c>
      <c r="V237" s="10">
        <f t="shared" si="16"/>
        <v>16</v>
      </c>
      <c r="W237" s="10">
        <f>[2]은행나무!G86</f>
        <v>13</v>
      </c>
      <c r="X237" s="10"/>
      <c r="Y237" s="10"/>
      <c r="Z237" s="10"/>
      <c r="AA237" s="10">
        <v>3</v>
      </c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</row>
    <row r="238" spans="1:54" s="1" customFormat="1" ht="16.5" customHeight="1" x14ac:dyDescent="0.3">
      <c r="A238" s="95"/>
      <c r="B238" s="15" t="s">
        <v>17</v>
      </c>
      <c r="C238" s="15">
        <v>120</v>
      </c>
      <c r="D238" s="10" t="s">
        <v>151</v>
      </c>
      <c r="E238" s="18">
        <v>0.1</v>
      </c>
      <c r="F238" s="11"/>
      <c r="G238" s="11" t="s">
        <v>150</v>
      </c>
      <c r="H238" s="11" t="s">
        <v>149</v>
      </c>
      <c r="I238" s="11"/>
      <c r="J238" s="11"/>
      <c r="K238" s="11"/>
      <c r="L238" s="11"/>
      <c r="M238" s="11"/>
      <c r="N238" s="11" t="s">
        <v>51</v>
      </c>
      <c r="O238" s="11"/>
      <c r="P238" s="11"/>
      <c r="Q238" s="11"/>
      <c r="R238" s="11"/>
      <c r="S238" s="11"/>
      <c r="T238" s="11" t="s">
        <v>18</v>
      </c>
      <c r="U238" s="11">
        <v>2.2999999999999998</v>
      </c>
      <c r="V238" s="10">
        <f t="shared" si="16"/>
        <v>3</v>
      </c>
      <c r="W238" s="10">
        <f>[2]은행나무!G87</f>
        <v>3</v>
      </c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</row>
    <row r="239" spans="1:54" s="1" customFormat="1" ht="16.5" customHeight="1" x14ac:dyDescent="0.3">
      <c r="A239" s="95"/>
      <c r="B239" s="15" t="s">
        <v>17</v>
      </c>
      <c r="C239" s="15">
        <v>121</v>
      </c>
      <c r="D239" s="10" t="s">
        <v>148</v>
      </c>
      <c r="E239" s="18">
        <v>0.1</v>
      </c>
      <c r="F239" s="11"/>
      <c r="G239" s="11" t="s">
        <v>147</v>
      </c>
      <c r="H239" s="11" t="s">
        <v>146</v>
      </c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>
        <v>2.5</v>
      </c>
      <c r="U239" s="11">
        <v>2.5</v>
      </c>
      <c r="V239" s="10">
        <f t="shared" si="16"/>
        <v>21</v>
      </c>
      <c r="W239" s="10"/>
      <c r="X239" s="10"/>
      <c r="Y239" s="10"/>
      <c r="Z239" s="10"/>
      <c r="AA239" s="10">
        <f>10+11</f>
        <v>21</v>
      </c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</row>
    <row r="240" spans="1:54" s="1" customFormat="1" ht="16.5" customHeight="1" x14ac:dyDescent="0.3">
      <c r="A240" s="95"/>
      <c r="B240" s="15" t="s">
        <v>17</v>
      </c>
      <c r="C240" s="15">
        <v>122</v>
      </c>
      <c r="D240" s="10" t="s">
        <v>145</v>
      </c>
      <c r="E240" s="18">
        <v>0.1</v>
      </c>
      <c r="F240" s="11"/>
      <c r="G240" s="11" t="s">
        <v>144</v>
      </c>
      <c r="H240" s="11" t="s">
        <v>143</v>
      </c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>
        <v>2.5</v>
      </c>
      <c r="U240" s="11">
        <v>2.5</v>
      </c>
      <c r="V240" s="10">
        <f t="shared" si="16"/>
        <v>14</v>
      </c>
      <c r="W240" s="10"/>
      <c r="X240" s="10"/>
      <c r="Y240" s="10"/>
      <c r="Z240" s="10"/>
      <c r="AA240" s="10">
        <f>6+8</f>
        <v>14</v>
      </c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</row>
    <row r="241" spans="1:54" s="1" customFormat="1" ht="16.5" customHeight="1" x14ac:dyDescent="0.3">
      <c r="A241" s="95"/>
      <c r="B241" s="15" t="s">
        <v>17</v>
      </c>
      <c r="C241" s="15">
        <v>123</v>
      </c>
      <c r="D241" s="10" t="s">
        <v>142</v>
      </c>
      <c r="E241" s="18">
        <v>0.1</v>
      </c>
      <c r="F241" s="11"/>
      <c r="G241" s="11" t="s">
        <v>141</v>
      </c>
      <c r="H241" s="11" t="s">
        <v>140</v>
      </c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>
        <v>2.5</v>
      </c>
      <c r="U241" s="11">
        <v>2.5</v>
      </c>
      <c r="V241" s="10">
        <f t="shared" si="16"/>
        <v>21</v>
      </c>
      <c r="W241" s="10"/>
      <c r="X241" s="10"/>
      <c r="Y241" s="10"/>
      <c r="Z241" s="10"/>
      <c r="AA241" s="10">
        <f>12+9</f>
        <v>21</v>
      </c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</row>
    <row r="242" spans="1:54" s="1" customFormat="1" ht="16.5" customHeight="1" x14ac:dyDescent="0.3">
      <c r="A242" s="95"/>
      <c r="B242" s="15" t="s">
        <v>17</v>
      </c>
      <c r="C242" s="15">
        <v>124</v>
      </c>
      <c r="D242" s="10" t="s">
        <v>139</v>
      </c>
      <c r="E242" s="18">
        <v>0.3</v>
      </c>
      <c r="F242" s="11"/>
      <c r="G242" s="19" t="s">
        <v>138</v>
      </c>
      <c r="H242" s="11" t="s">
        <v>137</v>
      </c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>
        <v>3.5</v>
      </c>
      <c r="U242" s="11">
        <v>3.5</v>
      </c>
      <c r="V242" s="10">
        <f t="shared" si="16"/>
        <v>67</v>
      </c>
      <c r="W242" s="10"/>
      <c r="X242" s="10"/>
      <c r="Y242" s="10"/>
      <c r="Z242" s="10"/>
      <c r="AA242" s="10">
        <f>37+30</f>
        <v>67</v>
      </c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</row>
    <row r="243" spans="1:54" s="1" customFormat="1" ht="16.5" customHeight="1" x14ac:dyDescent="0.3">
      <c r="A243" s="95"/>
      <c r="B243" s="15" t="s">
        <v>17</v>
      </c>
      <c r="C243" s="15">
        <v>125</v>
      </c>
      <c r="D243" s="10" t="s">
        <v>136</v>
      </c>
      <c r="E243" s="18">
        <v>0.3</v>
      </c>
      <c r="F243" s="11"/>
      <c r="G243" s="11" t="s">
        <v>135</v>
      </c>
      <c r="H243" s="11" t="s">
        <v>134</v>
      </c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>
        <v>3</v>
      </c>
      <c r="U243" s="11" t="s">
        <v>133</v>
      </c>
      <c r="V243" s="10">
        <f t="shared" si="16"/>
        <v>36</v>
      </c>
      <c r="W243" s="10"/>
      <c r="X243" s="10"/>
      <c r="Y243" s="10"/>
      <c r="Z243" s="10"/>
      <c r="AA243" s="10">
        <f>18+18</f>
        <v>36</v>
      </c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</row>
    <row r="244" spans="1:54" s="1" customFormat="1" ht="16.5" customHeight="1" x14ac:dyDescent="0.3">
      <c r="A244" s="95"/>
      <c r="B244" s="15" t="s">
        <v>17</v>
      </c>
      <c r="C244" s="15">
        <v>126</v>
      </c>
      <c r="D244" s="10" t="s">
        <v>132</v>
      </c>
      <c r="E244" s="18">
        <v>0.2</v>
      </c>
      <c r="F244" s="11"/>
      <c r="G244" s="11" t="s">
        <v>131</v>
      </c>
      <c r="H244" s="11" t="s">
        <v>130</v>
      </c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>
        <v>2</v>
      </c>
      <c r="U244" s="11">
        <v>2</v>
      </c>
      <c r="V244" s="10">
        <f t="shared" si="16"/>
        <v>47</v>
      </c>
      <c r="W244" s="10"/>
      <c r="X244" s="10"/>
      <c r="Y244" s="10"/>
      <c r="Z244" s="10"/>
      <c r="AA244" s="10">
        <v>47</v>
      </c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</row>
    <row r="245" spans="1:54" s="1" customFormat="1" ht="16.5" customHeight="1" x14ac:dyDescent="0.3">
      <c r="A245" s="95"/>
      <c r="B245" s="15" t="s">
        <v>17</v>
      </c>
      <c r="C245" s="15">
        <v>127</v>
      </c>
      <c r="D245" s="10" t="s">
        <v>129</v>
      </c>
      <c r="E245" s="18">
        <v>0.2</v>
      </c>
      <c r="F245" s="11"/>
      <c r="G245" s="11" t="s">
        <v>128</v>
      </c>
      <c r="H245" s="11" t="s">
        <v>127</v>
      </c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>
        <v>3</v>
      </c>
      <c r="U245" s="11">
        <v>3</v>
      </c>
      <c r="V245" s="10">
        <f t="shared" si="16"/>
        <v>48</v>
      </c>
      <c r="W245" s="10"/>
      <c r="X245" s="10"/>
      <c r="Y245" s="10"/>
      <c r="Z245" s="10"/>
      <c r="AA245" s="10"/>
      <c r="AB245" s="10"/>
      <c r="AC245" s="10">
        <f>5+4</f>
        <v>9</v>
      </c>
      <c r="AD245" s="10"/>
      <c r="AE245" s="10"/>
      <c r="AF245" s="10">
        <f>21+18</f>
        <v>39</v>
      </c>
      <c r="AG245" s="10"/>
      <c r="AH245" s="10"/>
      <c r="AI245" s="10"/>
      <c r="AJ245" s="10"/>
      <c r="AK245" s="10"/>
      <c r="AL245" s="10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</row>
    <row r="246" spans="1:54" s="1" customFormat="1" ht="16.5" customHeight="1" x14ac:dyDescent="0.3">
      <c r="A246" s="95"/>
      <c r="B246" s="15" t="s">
        <v>17</v>
      </c>
      <c r="C246" s="15">
        <v>128</v>
      </c>
      <c r="D246" s="10" t="s">
        <v>126</v>
      </c>
      <c r="E246" s="18">
        <v>0.2</v>
      </c>
      <c r="F246" s="11"/>
      <c r="G246" s="11" t="s">
        <v>125</v>
      </c>
      <c r="H246" s="11" t="s">
        <v>124</v>
      </c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>
        <v>2.7</v>
      </c>
      <c r="U246" s="11">
        <v>2.7</v>
      </c>
      <c r="V246" s="10">
        <f t="shared" si="16"/>
        <v>33</v>
      </c>
      <c r="W246" s="10"/>
      <c r="X246" s="10"/>
      <c r="Y246" s="10"/>
      <c r="Z246" s="10"/>
      <c r="AA246" s="10">
        <f>14+19</f>
        <v>33</v>
      </c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</row>
    <row r="247" spans="1:54" s="1" customFormat="1" ht="16.5" customHeight="1" x14ac:dyDescent="0.3">
      <c r="A247" s="95"/>
      <c r="B247" s="15" t="s">
        <v>17</v>
      </c>
      <c r="C247" s="15">
        <v>129</v>
      </c>
      <c r="D247" s="10" t="s">
        <v>123</v>
      </c>
      <c r="E247" s="18">
        <v>0.3</v>
      </c>
      <c r="F247" s="11"/>
      <c r="G247" s="11" t="s">
        <v>122</v>
      </c>
      <c r="H247" s="11" t="s">
        <v>121</v>
      </c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>
        <v>3</v>
      </c>
      <c r="U247" s="11">
        <v>3</v>
      </c>
      <c r="V247" s="10">
        <f t="shared" ref="V247:V278" si="17">SUM(W247:AJ247)</f>
        <v>63</v>
      </c>
      <c r="W247" s="10"/>
      <c r="X247" s="10"/>
      <c r="Y247" s="10"/>
      <c r="Z247" s="10"/>
      <c r="AA247" s="10">
        <f>33+30</f>
        <v>63</v>
      </c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</row>
    <row r="248" spans="1:54" s="1" customFormat="1" ht="16.5" customHeight="1" x14ac:dyDescent="0.3">
      <c r="A248" s="95"/>
      <c r="B248" s="15" t="s">
        <v>17</v>
      </c>
      <c r="C248" s="15">
        <v>130</v>
      </c>
      <c r="D248" s="10" t="s">
        <v>120</v>
      </c>
      <c r="E248" s="18">
        <v>0.2</v>
      </c>
      <c r="F248" s="11"/>
      <c r="G248" s="11" t="s">
        <v>119</v>
      </c>
      <c r="H248" s="11" t="s">
        <v>118</v>
      </c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>
        <v>2</v>
      </c>
      <c r="U248" s="11">
        <v>2.5</v>
      </c>
      <c r="V248" s="10">
        <f t="shared" si="17"/>
        <v>5</v>
      </c>
      <c r="W248" s="10"/>
      <c r="X248" s="10"/>
      <c r="Y248" s="10"/>
      <c r="Z248" s="10"/>
      <c r="AA248" s="10"/>
      <c r="AB248" s="10">
        <v>5</v>
      </c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</row>
    <row r="249" spans="1:54" s="1" customFormat="1" ht="16.5" customHeight="1" x14ac:dyDescent="0.3">
      <c r="A249" s="95"/>
      <c r="B249" s="15" t="s">
        <v>17</v>
      </c>
      <c r="C249" s="15">
        <v>131</v>
      </c>
      <c r="D249" s="10" t="s">
        <v>117</v>
      </c>
      <c r="E249" s="18">
        <v>0.5</v>
      </c>
      <c r="F249" s="11"/>
      <c r="G249" s="11" t="s">
        <v>116</v>
      </c>
      <c r="H249" s="11" t="s">
        <v>115</v>
      </c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>
        <v>2.7</v>
      </c>
      <c r="U249" s="11">
        <v>2.7</v>
      </c>
      <c r="V249" s="10">
        <f t="shared" si="17"/>
        <v>86</v>
      </c>
      <c r="W249" s="10">
        <f>[2]은행나무!G88</f>
        <v>86</v>
      </c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</row>
    <row r="250" spans="1:54" s="1" customFormat="1" ht="16.5" customHeight="1" x14ac:dyDescent="0.3">
      <c r="A250" s="95"/>
      <c r="B250" s="15" t="s">
        <v>17</v>
      </c>
      <c r="C250" s="15">
        <v>132</v>
      </c>
      <c r="D250" s="10" t="s">
        <v>114</v>
      </c>
      <c r="E250" s="18">
        <v>0.5</v>
      </c>
      <c r="F250" s="11"/>
      <c r="G250" s="11" t="s">
        <v>113</v>
      </c>
      <c r="H250" s="11" t="s">
        <v>112</v>
      </c>
      <c r="I250" s="11"/>
      <c r="J250" s="11"/>
      <c r="K250" s="11"/>
      <c r="L250" s="11"/>
      <c r="M250" s="11"/>
      <c r="N250" s="11"/>
      <c r="O250" s="11" t="s">
        <v>51</v>
      </c>
      <c r="P250" s="11"/>
      <c r="Q250" s="11"/>
      <c r="R250" s="11"/>
      <c r="S250" s="11"/>
      <c r="T250" s="11">
        <v>2.5</v>
      </c>
      <c r="U250" s="11">
        <v>2.5</v>
      </c>
      <c r="V250" s="10">
        <f t="shared" si="17"/>
        <v>99</v>
      </c>
      <c r="W250" s="10">
        <f>[2]은행나무!G89</f>
        <v>35</v>
      </c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>
        <f>31+33</f>
        <v>64</v>
      </c>
      <c r="AJ250" s="10"/>
      <c r="AK250" s="10"/>
      <c r="AL250" s="10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</row>
    <row r="251" spans="1:54" s="1" customFormat="1" ht="16.5" customHeight="1" x14ac:dyDescent="0.3">
      <c r="A251" s="95"/>
      <c r="B251" s="15" t="s">
        <v>17</v>
      </c>
      <c r="C251" s="15">
        <v>133</v>
      </c>
      <c r="D251" s="10" t="s">
        <v>111</v>
      </c>
      <c r="E251" s="18">
        <v>0.5</v>
      </c>
      <c r="F251" s="11"/>
      <c r="G251" s="11" t="s">
        <v>110</v>
      </c>
      <c r="H251" s="11" t="s">
        <v>109</v>
      </c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>
        <v>2.5</v>
      </c>
      <c r="U251" s="11">
        <v>2.5</v>
      </c>
      <c r="V251" s="10">
        <f t="shared" si="17"/>
        <v>96</v>
      </c>
      <c r="W251" s="10">
        <f>[2]은행나무!G90</f>
        <v>96</v>
      </c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</row>
    <row r="252" spans="1:54" s="1" customFormat="1" ht="16.5" customHeight="1" x14ac:dyDescent="0.3">
      <c r="A252" s="95"/>
      <c r="B252" s="15" t="s">
        <v>17</v>
      </c>
      <c r="C252" s="15">
        <v>134</v>
      </c>
      <c r="D252" s="10" t="s">
        <v>108</v>
      </c>
      <c r="E252" s="18">
        <v>0.2</v>
      </c>
      <c r="F252" s="11"/>
      <c r="G252" s="11" t="s">
        <v>107</v>
      </c>
      <c r="H252" s="11" t="s">
        <v>106</v>
      </c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>
        <v>2</v>
      </c>
      <c r="U252" s="11" t="s">
        <v>18</v>
      </c>
      <c r="V252" s="10">
        <f t="shared" si="17"/>
        <v>4</v>
      </c>
      <c r="W252" s="10"/>
      <c r="X252" s="10">
        <v>4</v>
      </c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</row>
    <row r="253" spans="1:54" s="1" customFormat="1" ht="16.5" customHeight="1" x14ac:dyDescent="0.3">
      <c r="A253" s="95"/>
      <c r="B253" s="15" t="s">
        <v>17</v>
      </c>
      <c r="C253" s="15">
        <v>135</v>
      </c>
      <c r="D253" s="10" t="s">
        <v>105</v>
      </c>
      <c r="E253" s="13">
        <v>0.3</v>
      </c>
      <c r="F253" s="12"/>
      <c r="G253" s="12" t="s">
        <v>104</v>
      </c>
      <c r="H253" s="12" t="s">
        <v>103</v>
      </c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1">
        <v>4</v>
      </c>
      <c r="U253" s="11">
        <v>3.3</v>
      </c>
      <c r="V253" s="10">
        <f t="shared" si="17"/>
        <v>33</v>
      </c>
      <c r="W253" s="10">
        <f>[2]은행나무!G91</f>
        <v>33</v>
      </c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</row>
    <row r="254" spans="1:54" s="1" customFormat="1" ht="16.5" customHeight="1" x14ac:dyDescent="0.3">
      <c r="A254" s="95"/>
      <c r="B254" s="15" t="s">
        <v>17</v>
      </c>
      <c r="C254" s="15">
        <v>136</v>
      </c>
      <c r="D254" s="10" t="s">
        <v>102</v>
      </c>
      <c r="E254" s="13">
        <v>0.3</v>
      </c>
      <c r="F254" s="12"/>
      <c r="G254" s="12" t="s">
        <v>101</v>
      </c>
      <c r="H254" s="12" t="s">
        <v>100</v>
      </c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1">
        <v>3</v>
      </c>
      <c r="U254" s="11">
        <v>3</v>
      </c>
      <c r="V254" s="10">
        <f t="shared" si="17"/>
        <v>59</v>
      </c>
      <c r="W254" s="10"/>
      <c r="X254" s="10"/>
      <c r="Y254" s="10"/>
      <c r="Z254" s="10"/>
      <c r="AA254" s="10">
        <f>29+30</f>
        <v>59</v>
      </c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</row>
    <row r="255" spans="1:54" s="1" customFormat="1" ht="16.5" customHeight="1" x14ac:dyDescent="0.3">
      <c r="A255" s="95"/>
      <c r="B255" s="15" t="s">
        <v>17</v>
      </c>
      <c r="C255" s="15">
        <v>137</v>
      </c>
      <c r="D255" s="10" t="s">
        <v>99</v>
      </c>
      <c r="E255" s="13">
        <v>0.3</v>
      </c>
      <c r="F255" s="12"/>
      <c r="G255" s="12" t="s">
        <v>98</v>
      </c>
      <c r="H255" s="12" t="s">
        <v>97</v>
      </c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1">
        <v>3</v>
      </c>
      <c r="U255" s="11">
        <v>3</v>
      </c>
      <c r="V255" s="10">
        <f t="shared" si="17"/>
        <v>60</v>
      </c>
      <c r="W255" s="10"/>
      <c r="X255" s="10"/>
      <c r="Y255" s="10"/>
      <c r="Z255" s="10"/>
      <c r="AA255" s="10">
        <f>31+29</f>
        <v>60</v>
      </c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</row>
    <row r="256" spans="1:54" s="1" customFormat="1" ht="16.5" customHeight="1" x14ac:dyDescent="0.3">
      <c r="A256" s="95"/>
      <c r="B256" s="15" t="s">
        <v>17</v>
      </c>
      <c r="C256" s="15">
        <v>138</v>
      </c>
      <c r="D256" s="10" t="s">
        <v>96</v>
      </c>
      <c r="E256" s="13">
        <v>0.2</v>
      </c>
      <c r="F256" s="12"/>
      <c r="G256" s="12" t="s">
        <v>95</v>
      </c>
      <c r="H256" s="12" t="s">
        <v>94</v>
      </c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1">
        <v>2</v>
      </c>
      <c r="U256" s="11">
        <v>2</v>
      </c>
      <c r="V256" s="10">
        <f t="shared" si="17"/>
        <v>15</v>
      </c>
      <c r="W256" s="10"/>
      <c r="X256" s="10"/>
      <c r="Y256" s="10"/>
      <c r="Z256" s="10"/>
      <c r="AA256" s="10">
        <v>15</v>
      </c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</row>
    <row r="257" spans="1:54" s="1" customFormat="1" ht="16.5" customHeight="1" x14ac:dyDescent="0.3">
      <c r="A257" s="95"/>
      <c r="B257" s="15" t="s">
        <v>17</v>
      </c>
      <c r="C257" s="15">
        <v>139</v>
      </c>
      <c r="D257" s="10" t="s">
        <v>93</v>
      </c>
      <c r="E257" s="13">
        <v>0.3</v>
      </c>
      <c r="F257" s="12"/>
      <c r="G257" s="12" t="s">
        <v>92</v>
      </c>
      <c r="H257" s="12" t="s">
        <v>91</v>
      </c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1">
        <v>2.5</v>
      </c>
      <c r="U257" s="11" t="s">
        <v>90</v>
      </c>
      <c r="V257" s="10">
        <f t="shared" si="17"/>
        <v>50</v>
      </c>
      <c r="W257" s="10"/>
      <c r="X257" s="10"/>
      <c r="Y257" s="10"/>
      <c r="Z257" s="10"/>
      <c r="AA257" s="10">
        <f>27+23</f>
        <v>50</v>
      </c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</row>
    <row r="258" spans="1:54" s="1" customFormat="1" ht="16.5" customHeight="1" x14ac:dyDescent="0.3">
      <c r="A258" s="95"/>
      <c r="B258" s="15" t="s">
        <v>17</v>
      </c>
      <c r="C258" s="15">
        <v>140</v>
      </c>
      <c r="D258" s="10" t="s">
        <v>89</v>
      </c>
      <c r="E258" s="13">
        <v>0.2</v>
      </c>
      <c r="F258" s="12"/>
      <c r="G258" s="12" t="s">
        <v>88</v>
      </c>
      <c r="H258" s="12" t="s">
        <v>87</v>
      </c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1">
        <v>1.8</v>
      </c>
      <c r="U258" s="11">
        <v>1.8</v>
      </c>
      <c r="V258" s="10">
        <f t="shared" si="17"/>
        <v>4</v>
      </c>
      <c r="W258" s="10">
        <f>[2]은행나무!G92</f>
        <v>4</v>
      </c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</row>
    <row r="259" spans="1:54" s="1" customFormat="1" ht="16.5" customHeight="1" x14ac:dyDescent="0.3">
      <c r="A259" s="95"/>
      <c r="B259" s="15" t="s">
        <v>17</v>
      </c>
      <c r="C259" s="15">
        <v>141</v>
      </c>
      <c r="D259" s="10" t="s">
        <v>86</v>
      </c>
      <c r="E259" s="13">
        <v>0.2</v>
      </c>
      <c r="F259" s="12"/>
      <c r="G259" s="12" t="s">
        <v>85</v>
      </c>
      <c r="H259" s="12" t="s">
        <v>84</v>
      </c>
      <c r="I259" s="12"/>
      <c r="J259" s="12"/>
      <c r="K259" s="12"/>
      <c r="L259" s="12"/>
      <c r="M259" s="12"/>
      <c r="N259" s="12" t="s">
        <v>51</v>
      </c>
      <c r="O259" s="12"/>
      <c r="P259" s="12"/>
      <c r="Q259" s="12"/>
      <c r="R259" s="12"/>
      <c r="S259" s="12"/>
      <c r="T259" s="11" t="s">
        <v>18</v>
      </c>
      <c r="U259" s="11">
        <v>1.5</v>
      </c>
      <c r="V259" s="10">
        <f t="shared" si="17"/>
        <v>3</v>
      </c>
      <c r="W259" s="10">
        <f>[2]은행나무!G93</f>
        <v>3</v>
      </c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</row>
    <row r="260" spans="1:54" s="1" customFormat="1" ht="16.5" customHeight="1" x14ac:dyDescent="0.3">
      <c r="A260" s="95"/>
      <c r="B260" s="15" t="s">
        <v>17</v>
      </c>
      <c r="C260" s="15">
        <v>142</v>
      </c>
      <c r="D260" s="10" t="s">
        <v>83</v>
      </c>
      <c r="E260" s="13">
        <v>0.1</v>
      </c>
      <c r="F260" s="12"/>
      <c r="G260" s="12" t="s">
        <v>82</v>
      </c>
      <c r="H260" s="12" t="s">
        <v>81</v>
      </c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1">
        <v>2.8</v>
      </c>
      <c r="U260" s="11">
        <v>2.8</v>
      </c>
      <c r="V260" s="10">
        <f t="shared" si="17"/>
        <v>25</v>
      </c>
      <c r="W260" s="10">
        <f>[2]은행나무!G94</f>
        <v>25</v>
      </c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</row>
    <row r="261" spans="1:54" s="1" customFormat="1" ht="16.5" customHeight="1" x14ac:dyDescent="0.3">
      <c r="A261" s="95"/>
      <c r="B261" s="15" t="s">
        <v>17</v>
      </c>
      <c r="C261" s="15">
        <v>143</v>
      </c>
      <c r="D261" s="10" t="s">
        <v>80</v>
      </c>
      <c r="E261" s="13">
        <v>0.14000000000000001</v>
      </c>
      <c r="F261" s="12"/>
      <c r="G261" s="12" t="s">
        <v>79</v>
      </c>
      <c r="H261" s="12" t="s">
        <v>78</v>
      </c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 t="s">
        <v>51</v>
      </c>
      <c r="T261" s="11">
        <v>2.7</v>
      </c>
      <c r="U261" s="11">
        <v>2.7</v>
      </c>
      <c r="V261" s="10">
        <f t="shared" si="17"/>
        <v>33</v>
      </c>
      <c r="W261" s="10">
        <f>[2]은행나무!G95</f>
        <v>33</v>
      </c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</row>
    <row r="262" spans="1:54" s="1" customFormat="1" ht="16.5" customHeight="1" x14ac:dyDescent="0.3">
      <c r="A262" s="95"/>
      <c r="B262" s="15" t="s">
        <v>17</v>
      </c>
      <c r="C262" s="15">
        <v>144</v>
      </c>
      <c r="D262" s="10" t="s">
        <v>77</v>
      </c>
      <c r="E262" s="13">
        <v>0.4</v>
      </c>
      <c r="F262" s="12"/>
      <c r="G262" s="12" t="s">
        <v>76</v>
      </c>
      <c r="H262" s="12" t="s">
        <v>75</v>
      </c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1">
        <v>2.7</v>
      </c>
      <c r="U262" s="11">
        <v>2.7</v>
      </c>
      <c r="V262" s="10">
        <f t="shared" si="17"/>
        <v>63</v>
      </c>
      <c r="W262" s="10"/>
      <c r="X262" s="10"/>
      <c r="Y262" s="10"/>
      <c r="Z262" s="10"/>
      <c r="AA262" s="10"/>
      <c r="AB262" s="10"/>
      <c r="AC262" s="10">
        <f>32+31</f>
        <v>63</v>
      </c>
      <c r="AD262" s="10"/>
      <c r="AE262" s="10"/>
      <c r="AF262" s="10"/>
      <c r="AG262" s="10"/>
      <c r="AH262" s="10"/>
      <c r="AI262" s="10"/>
      <c r="AJ262" s="10"/>
      <c r="AK262" s="10"/>
      <c r="AL262" s="10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</row>
    <row r="263" spans="1:54" s="1" customFormat="1" ht="16.5" customHeight="1" x14ac:dyDescent="0.3">
      <c r="A263" s="95"/>
      <c r="B263" s="15" t="s">
        <v>17</v>
      </c>
      <c r="C263" s="15">
        <v>145</v>
      </c>
      <c r="D263" s="10" t="s">
        <v>74</v>
      </c>
      <c r="E263" s="13">
        <v>0.3</v>
      </c>
      <c r="F263" s="12" t="s">
        <v>73</v>
      </c>
      <c r="G263" s="12" t="s">
        <v>72</v>
      </c>
      <c r="H263" s="12" t="s">
        <v>71</v>
      </c>
      <c r="I263" s="12"/>
      <c r="J263" s="12"/>
      <c r="K263" s="12"/>
      <c r="L263" s="12"/>
      <c r="M263" s="12"/>
      <c r="N263" s="12"/>
      <c r="O263" s="12"/>
      <c r="P263" s="12"/>
      <c r="Q263" s="12" t="s">
        <v>70</v>
      </c>
      <c r="R263" s="12" t="s">
        <v>69</v>
      </c>
      <c r="S263" s="12"/>
      <c r="T263" s="11" t="s">
        <v>68</v>
      </c>
      <c r="U263" s="11" t="s">
        <v>68</v>
      </c>
      <c r="V263" s="10">
        <f t="shared" si="17"/>
        <v>17</v>
      </c>
      <c r="W263" s="10"/>
      <c r="X263" s="10"/>
      <c r="Y263" s="10"/>
      <c r="Z263" s="10"/>
      <c r="AA263" s="10"/>
      <c r="AB263" s="10"/>
      <c r="AC263" s="17">
        <v>17</v>
      </c>
      <c r="AD263" s="10"/>
      <c r="AE263" s="10"/>
      <c r="AF263" s="10"/>
      <c r="AG263" s="10"/>
      <c r="AH263" s="10"/>
      <c r="AI263" s="10"/>
      <c r="AJ263" s="10"/>
      <c r="AK263" s="10"/>
      <c r="AL263" s="10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</row>
    <row r="264" spans="1:54" s="1" customFormat="1" ht="16.5" customHeight="1" x14ac:dyDescent="0.3">
      <c r="A264" s="95"/>
      <c r="B264" s="15" t="s">
        <v>17</v>
      </c>
      <c r="C264" s="15">
        <v>146</v>
      </c>
      <c r="D264" s="10" t="s">
        <v>67</v>
      </c>
      <c r="E264" s="13">
        <v>0.3</v>
      </c>
      <c r="F264" s="12"/>
      <c r="G264" s="12" t="s">
        <v>66</v>
      </c>
      <c r="H264" s="12" t="s">
        <v>65</v>
      </c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 t="s">
        <v>51</v>
      </c>
      <c r="T264" s="11">
        <v>3.5</v>
      </c>
      <c r="U264" s="11">
        <v>3.5</v>
      </c>
      <c r="V264" s="10">
        <f t="shared" si="17"/>
        <v>55</v>
      </c>
      <c r="W264" s="10">
        <f>[2]은행나무!G96</f>
        <v>55</v>
      </c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</row>
    <row r="265" spans="1:54" s="1" customFormat="1" ht="16.5" customHeight="1" x14ac:dyDescent="0.3">
      <c r="A265" s="95"/>
      <c r="B265" s="15" t="s">
        <v>17</v>
      </c>
      <c r="C265" s="15">
        <v>147</v>
      </c>
      <c r="D265" s="10" t="s">
        <v>64</v>
      </c>
      <c r="E265" s="13">
        <v>0.2</v>
      </c>
      <c r="F265" s="12"/>
      <c r="G265" s="12" t="s">
        <v>63</v>
      </c>
      <c r="H265" s="12" t="s">
        <v>62</v>
      </c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1">
        <v>3</v>
      </c>
      <c r="U265" s="11">
        <v>5</v>
      </c>
      <c r="V265" s="10">
        <f t="shared" si="17"/>
        <v>31</v>
      </c>
      <c r="W265" s="10">
        <f>[2]은행나무!G97</f>
        <v>31</v>
      </c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</row>
    <row r="266" spans="1:54" s="1" customFormat="1" ht="16.5" customHeight="1" x14ac:dyDescent="0.3">
      <c r="A266" s="95"/>
      <c r="B266" s="15" t="s">
        <v>17</v>
      </c>
      <c r="C266" s="15">
        <v>148</v>
      </c>
      <c r="D266" s="10" t="s">
        <v>61</v>
      </c>
      <c r="E266" s="13">
        <v>0.2</v>
      </c>
      <c r="F266" s="12"/>
      <c r="G266" s="12" t="s">
        <v>60</v>
      </c>
      <c r="H266" s="12" t="s">
        <v>59</v>
      </c>
      <c r="I266" s="12"/>
      <c r="J266" s="12"/>
      <c r="K266" s="12"/>
      <c r="L266" s="12"/>
      <c r="M266" s="12"/>
      <c r="N266" s="12" t="s">
        <v>51</v>
      </c>
      <c r="O266" s="12"/>
      <c r="P266" s="12"/>
      <c r="Q266" s="12"/>
      <c r="R266" s="12"/>
      <c r="S266" s="12"/>
      <c r="T266" s="11">
        <v>2.5</v>
      </c>
      <c r="U266" s="11">
        <v>2.5</v>
      </c>
      <c r="V266" s="10">
        <f t="shared" si="17"/>
        <v>22</v>
      </c>
      <c r="W266" s="10"/>
      <c r="X266" s="10"/>
      <c r="Y266" s="10"/>
      <c r="Z266" s="10"/>
      <c r="AA266" s="10">
        <v>22</v>
      </c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</row>
    <row r="267" spans="1:54" s="1" customFormat="1" ht="16.5" customHeight="1" x14ac:dyDescent="0.3">
      <c r="A267" s="95"/>
      <c r="B267" s="15" t="s">
        <v>17</v>
      </c>
      <c r="C267" s="15">
        <v>149</v>
      </c>
      <c r="D267" s="10" t="s">
        <v>58</v>
      </c>
      <c r="E267" s="13">
        <v>0.1</v>
      </c>
      <c r="F267" s="12"/>
      <c r="G267" s="12" t="s">
        <v>57</v>
      </c>
      <c r="H267" s="12" t="s">
        <v>56</v>
      </c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1" t="s">
        <v>55</v>
      </c>
      <c r="U267" s="11" t="s">
        <v>55</v>
      </c>
      <c r="V267" s="10">
        <f t="shared" si="17"/>
        <v>27</v>
      </c>
      <c r="W267" s="10"/>
      <c r="X267" s="10"/>
      <c r="Y267" s="10"/>
      <c r="Z267" s="10"/>
      <c r="AA267" s="10">
        <f>13+14</f>
        <v>27</v>
      </c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</row>
    <row r="268" spans="1:54" s="1" customFormat="1" ht="16.5" customHeight="1" x14ac:dyDescent="0.3">
      <c r="A268" s="95"/>
      <c r="B268" s="15" t="s">
        <v>17</v>
      </c>
      <c r="C268" s="15">
        <v>150</v>
      </c>
      <c r="D268" s="10" t="s">
        <v>54</v>
      </c>
      <c r="E268" s="13">
        <v>0.2</v>
      </c>
      <c r="F268" s="12"/>
      <c r="G268" s="12" t="s">
        <v>53</v>
      </c>
      <c r="H268" s="12" t="s">
        <v>52</v>
      </c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 t="s">
        <v>51</v>
      </c>
      <c r="T268" s="11" t="s">
        <v>50</v>
      </c>
      <c r="U268" s="11" t="s">
        <v>50</v>
      </c>
      <c r="V268" s="10">
        <f t="shared" si="17"/>
        <v>32</v>
      </c>
      <c r="W268" s="10">
        <f>[2]은행나무!G98</f>
        <v>6</v>
      </c>
      <c r="X268" s="10"/>
      <c r="Y268" s="10"/>
      <c r="Z268" s="10"/>
      <c r="AA268" s="10">
        <v>26</v>
      </c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</row>
    <row r="269" spans="1:54" s="1" customFormat="1" ht="16.5" customHeight="1" x14ac:dyDescent="0.3">
      <c r="A269" s="95"/>
      <c r="B269" s="15" t="s">
        <v>17</v>
      </c>
      <c r="C269" s="15">
        <v>151</v>
      </c>
      <c r="D269" s="10" t="s">
        <v>49</v>
      </c>
      <c r="E269" s="13">
        <v>0.1</v>
      </c>
      <c r="F269" s="12"/>
      <c r="G269" s="12" t="s">
        <v>48</v>
      </c>
      <c r="H269" s="12" t="s">
        <v>47</v>
      </c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1">
        <v>3</v>
      </c>
      <c r="U269" s="11">
        <v>3</v>
      </c>
      <c r="V269" s="10">
        <f t="shared" si="17"/>
        <v>19</v>
      </c>
      <c r="W269" s="10"/>
      <c r="X269" s="10"/>
      <c r="Y269" s="10"/>
      <c r="Z269" s="10"/>
      <c r="AA269" s="10">
        <f>11+8</f>
        <v>19</v>
      </c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</row>
    <row r="270" spans="1:54" s="1" customFormat="1" ht="16.5" customHeight="1" x14ac:dyDescent="0.3">
      <c r="A270" s="95"/>
      <c r="B270" s="15" t="s">
        <v>17</v>
      </c>
      <c r="C270" s="15">
        <v>152</v>
      </c>
      <c r="D270" s="10" t="s">
        <v>46</v>
      </c>
      <c r="E270" s="13">
        <v>0.3</v>
      </c>
      <c r="F270" s="12"/>
      <c r="G270" s="12" t="s">
        <v>45</v>
      </c>
      <c r="H270" s="12" t="s">
        <v>44</v>
      </c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1">
        <v>2.8</v>
      </c>
      <c r="U270" s="11">
        <v>2.8</v>
      </c>
      <c r="V270" s="10">
        <f t="shared" si="17"/>
        <v>58</v>
      </c>
      <c r="W270" s="10"/>
      <c r="X270" s="10"/>
      <c r="Y270" s="10"/>
      <c r="Z270" s="10"/>
      <c r="AA270" s="10">
        <f>29+29</f>
        <v>58</v>
      </c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</row>
    <row r="271" spans="1:54" s="1" customFormat="1" ht="16.5" customHeight="1" thickBot="1" x14ac:dyDescent="0.35">
      <c r="A271" s="96"/>
      <c r="B271" s="15" t="s">
        <v>17</v>
      </c>
      <c r="C271" s="15">
        <v>153</v>
      </c>
      <c r="D271" s="10" t="s">
        <v>43</v>
      </c>
      <c r="E271" s="13">
        <v>0.2</v>
      </c>
      <c r="F271" s="12"/>
      <c r="G271" s="12" t="s">
        <v>42</v>
      </c>
      <c r="H271" s="12" t="s">
        <v>41</v>
      </c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1">
        <v>5</v>
      </c>
      <c r="U271" s="11">
        <v>5</v>
      </c>
      <c r="V271" s="10">
        <f t="shared" si="17"/>
        <v>20</v>
      </c>
      <c r="W271" s="10"/>
      <c r="X271" s="10"/>
      <c r="Y271" s="10"/>
      <c r="Z271" s="10"/>
      <c r="AA271" s="10">
        <v>20</v>
      </c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</row>
    <row r="272" spans="1:54" s="1" customFormat="1" x14ac:dyDescent="0.3">
      <c r="B272" s="15" t="s">
        <v>17</v>
      </c>
      <c r="C272" s="15">
        <v>154</v>
      </c>
      <c r="D272" s="10" t="s">
        <v>40</v>
      </c>
      <c r="E272" s="13">
        <v>0.9</v>
      </c>
      <c r="F272" s="12"/>
      <c r="G272" s="12" t="s">
        <v>39</v>
      </c>
      <c r="H272" s="12" t="s">
        <v>38</v>
      </c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1">
        <v>3.5</v>
      </c>
      <c r="U272" s="11">
        <v>3.5</v>
      </c>
      <c r="V272" s="10">
        <f t="shared" ref="V272:V280" si="18">SUM(W272:AL272)</f>
        <v>161</v>
      </c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>
        <v>161</v>
      </c>
      <c r="AL272" s="10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</row>
    <row r="273" spans="2:56" x14ac:dyDescent="0.3">
      <c r="B273" s="15" t="s">
        <v>17</v>
      </c>
      <c r="C273" s="15">
        <v>155</v>
      </c>
      <c r="D273" s="10" t="s">
        <v>37</v>
      </c>
      <c r="E273" s="13">
        <v>0.8</v>
      </c>
      <c r="F273" s="12"/>
      <c r="G273" s="12" t="s">
        <v>36</v>
      </c>
      <c r="H273" s="12" t="s">
        <v>26</v>
      </c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1" t="s">
        <v>35</v>
      </c>
      <c r="U273" s="11" t="s">
        <v>32</v>
      </c>
      <c r="V273" s="10">
        <f t="shared" si="18"/>
        <v>156</v>
      </c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>
        <v>156</v>
      </c>
      <c r="AL273" s="10"/>
      <c r="AM273" s="1"/>
      <c r="BC273" s="1"/>
      <c r="BD273" s="1"/>
    </row>
    <row r="274" spans="2:56" x14ac:dyDescent="0.3">
      <c r="B274" s="15" t="s">
        <v>17</v>
      </c>
      <c r="C274" s="15">
        <v>156</v>
      </c>
      <c r="D274" s="10" t="s">
        <v>34</v>
      </c>
      <c r="E274" s="13">
        <v>1.4</v>
      </c>
      <c r="F274" s="12"/>
      <c r="G274" s="12" t="s">
        <v>20</v>
      </c>
      <c r="H274" s="12" t="s">
        <v>33</v>
      </c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1" t="s">
        <v>32</v>
      </c>
      <c r="U274" s="11" t="s">
        <v>32</v>
      </c>
      <c r="V274" s="10">
        <f t="shared" si="18"/>
        <v>268</v>
      </c>
      <c r="W274" s="10"/>
      <c r="X274" s="10"/>
      <c r="Y274" s="10"/>
      <c r="Z274" s="10"/>
      <c r="AA274" s="10"/>
      <c r="AB274" s="10"/>
      <c r="AC274" s="10">
        <v>268</v>
      </c>
      <c r="AD274" s="10"/>
      <c r="AE274" s="10"/>
      <c r="AF274" s="10"/>
      <c r="AG274" s="10"/>
      <c r="AH274" s="10"/>
      <c r="AI274" s="10"/>
      <c r="AJ274" s="10"/>
      <c r="AK274" s="10"/>
      <c r="AL274" s="10"/>
      <c r="AM274" s="1"/>
      <c r="BC274" s="1"/>
      <c r="BD274" s="1"/>
    </row>
    <row r="275" spans="2:56" ht="15.75" customHeight="1" x14ac:dyDescent="0.3">
      <c r="B275" s="15" t="s">
        <v>17</v>
      </c>
      <c r="C275" s="15">
        <v>157</v>
      </c>
      <c r="D275" s="10" t="s">
        <v>31</v>
      </c>
      <c r="E275" s="13">
        <v>0.2</v>
      </c>
      <c r="F275" s="12"/>
      <c r="G275" s="12" t="s">
        <v>30</v>
      </c>
      <c r="H275" s="12" t="s">
        <v>29</v>
      </c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1">
        <v>3</v>
      </c>
      <c r="U275" s="11">
        <v>3</v>
      </c>
      <c r="V275" s="10">
        <f t="shared" si="18"/>
        <v>55</v>
      </c>
      <c r="W275" s="10"/>
      <c r="X275" s="10"/>
      <c r="Y275" s="10"/>
      <c r="Z275" s="10"/>
      <c r="AA275" s="10"/>
      <c r="AB275" s="10"/>
      <c r="AC275" s="10">
        <v>55</v>
      </c>
      <c r="AD275" s="10"/>
      <c r="AE275" s="10"/>
      <c r="AF275" s="10"/>
      <c r="AG275" s="10"/>
      <c r="AH275" s="10"/>
      <c r="AI275" s="10"/>
      <c r="AJ275" s="10"/>
      <c r="AK275" s="10"/>
      <c r="AL275" s="10"/>
      <c r="AM275" s="1"/>
      <c r="AS275" s="16"/>
      <c r="BC275" s="1"/>
      <c r="BD275" s="1"/>
    </row>
    <row r="276" spans="2:56" x14ac:dyDescent="0.3">
      <c r="B276" s="15" t="s">
        <v>17</v>
      </c>
      <c r="C276" s="15">
        <v>158</v>
      </c>
      <c r="D276" s="10" t="s">
        <v>28</v>
      </c>
      <c r="E276" s="13">
        <v>0.2</v>
      </c>
      <c r="F276" s="12"/>
      <c r="G276" s="12" t="s">
        <v>27</v>
      </c>
      <c r="H276" s="12" t="s">
        <v>26</v>
      </c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1">
        <v>4</v>
      </c>
      <c r="U276" s="11">
        <v>3</v>
      </c>
      <c r="V276" s="10">
        <f t="shared" si="18"/>
        <v>51</v>
      </c>
      <c r="W276" s="10"/>
      <c r="X276" s="10"/>
      <c r="Y276" s="10"/>
      <c r="Z276" s="10"/>
      <c r="AA276" s="10"/>
      <c r="AB276" s="10"/>
      <c r="AC276" s="10">
        <v>51</v>
      </c>
      <c r="AD276" s="10"/>
      <c r="AE276" s="10"/>
      <c r="AF276" s="10"/>
      <c r="AG276" s="10"/>
      <c r="AH276" s="10"/>
      <c r="AI276" s="10"/>
      <c r="AJ276" s="10"/>
      <c r="AK276" s="10"/>
      <c r="AL276" s="10"/>
      <c r="AM276" s="1"/>
      <c r="BC276" s="1"/>
      <c r="BD276" s="1"/>
    </row>
    <row r="277" spans="2:56" x14ac:dyDescent="0.3">
      <c r="B277" s="15" t="s">
        <v>17</v>
      </c>
      <c r="C277" s="15">
        <v>159</v>
      </c>
      <c r="D277" s="10" t="s">
        <v>25</v>
      </c>
      <c r="E277" s="13">
        <v>0.3</v>
      </c>
      <c r="F277" s="12"/>
      <c r="G277" s="12" t="s">
        <v>24</v>
      </c>
      <c r="H277" s="12" t="s">
        <v>23</v>
      </c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1">
        <v>3</v>
      </c>
      <c r="U277" s="11">
        <v>2.5</v>
      </c>
      <c r="V277" s="10">
        <f t="shared" si="18"/>
        <v>62</v>
      </c>
      <c r="W277" s="10"/>
      <c r="X277" s="10"/>
      <c r="Y277" s="10"/>
      <c r="Z277" s="10"/>
      <c r="AA277" s="10"/>
      <c r="AB277" s="10"/>
      <c r="AC277" s="10">
        <v>62</v>
      </c>
      <c r="AD277" s="10"/>
      <c r="AE277" s="10"/>
      <c r="AF277" s="10"/>
      <c r="AG277" s="10"/>
      <c r="AH277" s="10"/>
      <c r="AI277" s="10"/>
      <c r="AJ277" s="10"/>
      <c r="AK277" s="10"/>
      <c r="AL277" s="10"/>
      <c r="AM277" s="1"/>
      <c r="BC277" s="1"/>
      <c r="BD277" s="1"/>
    </row>
    <row r="278" spans="2:56" x14ac:dyDescent="0.3">
      <c r="B278" s="15" t="s">
        <v>17</v>
      </c>
      <c r="C278" s="15">
        <v>160</v>
      </c>
      <c r="D278" s="14" t="s">
        <v>22</v>
      </c>
      <c r="E278" s="13">
        <v>0.1</v>
      </c>
      <c r="F278" s="5"/>
      <c r="G278" s="8"/>
      <c r="H278" s="8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11">
        <v>3</v>
      </c>
      <c r="U278" s="11">
        <v>3</v>
      </c>
      <c r="V278" s="10">
        <f t="shared" si="18"/>
        <v>26</v>
      </c>
      <c r="W278" s="14"/>
      <c r="X278" s="14"/>
      <c r="Y278" s="14"/>
      <c r="Z278" s="14"/>
      <c r="AA278" s="14"/>
      <c r="AB278" s="14"/>
      <c r="AC278" s="14">
        <v>26</v>
      </c>
      <c r="AD278" s="14"/>
      <c r="AE278" s="14"/>
      <c r="AF278" s="14"/>
      <c r="AG278" s="14"/>
      <c r="AH278" s="14"/>
      <c r="AI278" s="14"/>
      <c r="AJ278" s="14"/>
      <c r="AK278" s="14"/>
      <c r="AL278" s="14"/>
      <c r="AM278" s="1"/>
      <c r="BC278" s="1"/>
      <c r="BD278" s="1"/>
    </row>
    <row r="279" spans="2:56" x14ac:dyDescent="0.3">
      <c r="B279" s="15" t="s">
        <v>17</v>
      </c>
      <c r="C279" s="15">
        <v>161</v>
      </c>
      <c r="D279" s="14" t="s">
        <v>21</v>
      </c>
      <c r="E279" s="13">
        <v>0.12</v>
      </c>
      <c r="F279" s="5"/>
      <c r="G279" s="12" t="s">
        <v>20</v>
      </c>
      <c r="H279" s="14" t="s">
        <v>19</v>
      </c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11" t="s">
        <v>18</v>
      </c>
      <c r="U279" s="11" t="s">
        <v>18</v>
      </c>
      <c r="V279" s="10">
        <f t="shared" si="18"/>
        <v>30</v>
      </c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>
        <v>30</v>
      </c>
      <c r="AM279" s="1"/>
      <c r="BC279" s="1"/>
      <c r="BD279" s="1"/>
    </row>
    <row r="280" spans="2:56" x14ac:dyDescent="0.3">
      <c r="B280" s="5" t="s">
        <v>17</v>
      </c>
      <c r="C280" s="5">
        <v>162</v>
      </c>
      <c r="D280" s="14" t="s">
        <v>16</v>
      </c>
      <c r="E280" s="13">
        <v>0.6</v>
      </c>
      <c r="F280" s="5"/>
      <c r="G280" s="12" t="s">
        <v>15</v>
      </c>
      <c r="H280" s="12" t="s">
        <v>14</v>
      </c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11">
        <v>5</v>
      </c>
      <c r="U280" s="11">
        <v>3</v>
      </c>
      <c r="V280" s="10">
        <f t="shared" si="18"/>
        <v>114</v>
      </c>
      <c r="W280" s="9">
        <f>[2]은행나무!G55</f>
        <v>114</v>
      </c>
      <c r="X280" s="9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7"/>
      <c r="AL280" s="7"/>
      <c r="AM280" s="1"/>
      <c r="BC280" s="1"/>
      <c r="BD280" s="1"/>
    </row>
    <row r="283" spans="2:56" x14ac:dyDescent="0.3">
      <c r="T283" s="2"/>
    </row>
    <row r="284" spans="2:56" x14ac:dyDescent="0.3">
      <c r="T284" s="2"/>
    </row>
    <row r="285" spans="2:56" x14ac:dyDescent="0.3">
      <c r="T285" s="2"/>
    </row>
  </sheetData>
  <autoFilter ref="A6:BA280" xr:uid="{00000000-0009-0000-0000-000001000000}">
    <filterColumn colId="1" showButton="0"/>
  </autoFilter>
  <mergeCells count="34">
    <mergeCell ref="AG4:AG5"/>
    <mergeCell ref="AC4:AC5"/>
    <mergeCell ref="AD4:AD5"/>
    <mergeCell ref="AH3:AL3"/>
    <mergeCell ref="AE4:AE5"/>
    <mergeCell ref="AF4:AF5"/>
    <mergeCell ref="AH4:AH5"/>
    <mergeCell ref="AI4:AI5"/>
    <mergeCell ref="AL4:AL5"/>
    <mergeCell ref="AJ4:AJ5"/>
    <mergeCell ref="T3:U3"/>
    <mergeCell ref="I3:P3"/>
    <mergeCell ref="A118:A271"/>
    <mergeCell ref="A58:A111"/>
    <mergeCell ref="B4:C5"/>
    <mergeCell ref="B6:C6"/>
    <mergeCell ref="I4:S4"/>
    <mergeCell ref="A7:A57"/>
    <mergeCell ref="A1:AL2"/>
    <mergeCell ref="D4:D5"/>
    <mergeCell ref="Y4:Y5"/>
    <mergeCell ref="Z4:Z5"/>
    <mergeCell ref="V4:V5"/>
    <mergeCell ref="W4:W5"/>
    <mergeCell ref="X4:X5"/>
    <mergeCell ref="E4:E5"/>
    <mergeCell ref="G4:G5"/>
    <mergeCell ref="H4:H5"/>
    <mergeCell ref="F4:F5"/>
    <mergeCell ref="AA4:AA5"/>
    <mergeCell ref="AB4:AB5"/>
    <mergeCell ref="AK4:AK5"/>
    <mergeCell ref="A4:A5"/>
    <mergeCell ref="T4:U4"/>
  </mergeCells>
  <phoneticPr fontId="2" type="noConversion"/>
  <printOptions horizontalCentered="1"/>
  <pageMargins left="0.23622047244094491" right="0.23622047244094491" top="0.39370078740157483" bottom="0.39370078740157483" header="0" footer="0"/>
  <pageSetup paperSize="8" scale="73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가로수 현황</vt:lpstr>
      <vt:lpstr>'가로수 현황'!Print_Area</vt:lpstr>
      <vt:lpstr>'가로수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2026-04-17T07:30:42Z</dcterms:created>
  <dcterms:modified xsi:type="dcterms:W3CDTF">2026-04-18T07:27:16Z</dcterms:modified>
</cp:coreProperties>
</file>